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2" activeTab="1"/>
  </bookViews>
  <sheets>
    <sheet name="Fiche_EPCI" sheetId="16" r:id="rId1"/>
    <sheet name="Fiche_EPCI_Resume" sheetId="17" r:id="rId2"/>
    <sheet name="RevenuMens_menage" sheetId="8" state="hidden" r:id="rId3"/>
    <sheet name="Revenu_UC" sheetId="13" state="hidden" r:id="rId4"/>
    <sheet name="Statut_prof" sheetId="6" state="hidden" r:id="rId5"/>
    <sheet name="Ancienneté" sheetId="1" state="hidden" r:id="rId6"/>
    <sheet name="Age_demandeur" sheetId="2" state="hidden" r:id="rId7"/>
    <sheet name="Natio_demandeur" sheetId="3" state="hidden" r:id="rId8"/>
    <sheet name="Taille_menage" sheetId="4" state="hidden" r:id="rId9"/>
    <sheet name="Situ_familiale" sheetId="7" state="hidden" r:id="rId10"/>
    <sheet name="Compo_famille" sheetId="5" state="hidden" r:id="rId11"/>
    <sheet name="PosPlaf_HLM" sheetId="9" state="hidden" r:id="rId12"/>
    <sheet name="Logt_actuel" sheetId="10" state="hidden" r:id="rId13"/>
    <sheet name="Motif_demande" sheetId="11" state="hidden" r:id="rId14"/>
    <sheet name="ABC_123" sheetId="12" state="hidden" r:id="rId15"/>
    <sheet name="Grp_revenu" sheetId="14" state="hidden" r:id="rId16"/>
    <sheet name="Typologie" sheetId="15" state="hidden" r:id="rId17"/>
  </sheets>
  <externalReferences>
    <externalReference r:id="rId18"/>
  </externalReferences>
  <definedNames>
    <definedName name="Dmotif_Assistante_maternelle">[1]baseDcom!$CD$2:$CD$344</definedName>
    <definedName name="N5libcomDem">[1]baseDcom!$A$2:$A$344</definedName>
  </definedNames>
  <calcPr calcId="145621"/>
</workbook>
</file>

<file path=xl/calcChain.xml><?xml version="1.0" encoding="utf-8"?>
<calcChain xmlns="http://schemas.openxmlformats.org/spreadsheetml/2006/main">
  <c r="B38" i="17" l="1"/>
  <c r="N26" i="17"/>
  <c r="F20" i="17"/>
  <c r="N12" i="17"/>
  <c r="F7" i="17"/>
  <c r="A1" i="17"/>
  <c r="F32" i="17"/>
  <c r="F33" i="16" l="1"/>
  <c r="J10" i="17" s="1"/>
  <c r="J33" i="16"/>
  <c r="J24" i="17" s="1"/>
  <c r="J11" i="16"/>
  <c r="B34" i="17" s="1"/>
  <c r="J55" i="16"/>
  <c r="N28" i="17" s="1"/>
  <c r="N52" i="16"/>
  <c r="J36" i="17" s="1"/>
  <c r="J52" i="16"/>
  <c r="N51" i="16"/>
  <c r="J35" i="17" s="1"/>
  <c r="J51" i="16"/>
  <c r="N25" i="17" s="1"/>
  <c r="N50" i="16"/>
  <c r="J34" i="17" s="1"/>
  <c r="J50" i="16"/>
  <c r="N49" i="16"/>
  <c r="J33" i="17" s="1"/>
  <c r="J49" i="16"/>
  <c r="F49" i="16"/>
  <c r="F34" i="17" s="1"/>
  <c r="N48" i="16"/>
  <c r="J32" i="17" s="1"/>
  <c r="J48" i="16"/>
  <c r="R34" i="16"/>
  <c r="J41" i="17" s="1"/>
  <c r="R33" i="16"/>
  <c r="J40" i="17" s="1"/>
  <c r="R35" i="16"/>
  <c r="J42" i="17" s="1"/>
  <c r="J47" i="16"/>
  <c r="N23" i="17" s="1"/>
  <c r="F47" i="16"/>
  <c r="B47" i="16"/>
  <c r="B24" i="17" s="1"/>
  <c r="J46" i="16"/>
  <c r="F46" i="16"/>
  <c r="J45" i="16"/>
  <c r="N22" i="17" s="1"/>
  <c r="F45" i="16"/>
  <c r="B45" i="16"/>
  <c r="J44" i="16"/>
  <c r="F44" i="16"/>
  <c r="B44" i="16"/>
  <c r="J43" i="16"/>
  <c r="F43" i="16"/>
  <c r="F30" i="17" s="1"/>
  <c r="B43" i="16"/>
  <c r="J42" i="16"/>
  <c r="F42" i="16"/>
  <c r="F29" i="17" s="1"/>
  <c r="B42" i="16"/>
  <c r="N41" i="16"/>
  <c r="J41" i="16"/>
  <c r="F41" i="16"/>
  <c r="F28" i="17" s="1"/>
  <c r="B41" i="16"/>
  <c r="R40" i="16"/>
  <c r="J47" i="17" s="1"/>
  <c r="J40" i="16"/>
  <c r="N19" i="17" s="1"/>
  <c r="F40" i="16"/>
  <c r="F27" i="17" s="1"/>
  <c r="B40" i="16"/>
  <c r="B21" i="17" s="1"/>
  <c r="R39" i="16"/>
  <c r="J46" i="17" s="1"/>
  <c r="N39" i="16"/>
  <c r="B39" i="16"/>
  <c r="B20" i="17" s="1"/>
  <c r="R38" i="16"/>
  <c r="J45" i="17" s="1"/>
  <c r="N38" i="16"/>
  <c r="R37" i="16"/>
  <c r="J44" i="17" s="1"/>
  <c r="N37" i="16"/>
  <c r="R36" i="16"/>
  <c r="J43" i="17" s="1"/>
  <c r="N36" i="16"/>
  <c r="N35" i="16"/>
  <c r="J35" i="16"/>
  <c r="J26" i="17" s="1"/>
  <c r="F35" i="16"/>
  <c r="J12" i="17" s="1"/>
  <c r="N34" i="16"/>
  <c r="N33" i="16"/>
  <c r="B33" i="16"/>
  <c r="B14" i="17" s="1"/>
  <c r="N32" i="16"/>
  <c r="J32" i="16"/>
  <c r="F32" i="16"/>
  <c r="B32" i="16"/>
  <c r="B13" i="17" s="1"/>
  <c r="N31" i="16"/>
  <c r="J31" i="16"/>
  <c r="F31" i="16"/>
  <c r="B31" i="16"/>
  <c r="N30" i="16"/>
  <c r="N10" i="17" s="1"/>
  <c r="J30" i="16"/>
  <c r="F30" i="16"/>
  <c r="B30" i="16"/>
  <c r="N29" i="16"/>
  <c r="N9" i="17" s="1"/>
  <c r="J29" i="16"/>
  <c r="F29" i="16"/>
  <c r="B29" i="16"/>
  <c r="B12" i="17" s="1"/>
  <c r="R28" i="16"/>
  <c r="N28" i="16"/>
  <c r="N8" i="17" s="1"/>
  <c r="J28" i="16"/>
  <c r="F28" i="16"/>
  <c r="B28" i="16"/>
  <c r="R27" i="16"/>
  <c r="N27" i="16"/>
  <c r="J27" i="16"/>
  <c r="F27" i="16"/>
  <c r="B27" i="16"/>
  <c r="R26" i="16"/>
  <c r="N38" i="17" s="1"/>
  <c r="N26" i="16"/>
  <c r="J26" i="16"/>
  <c r="J23" i="17" s="1"/>
  <c r="F26" i="16"/>
  <c r="B26" i="16"/>
  <c r="B10" i="17" s="1"/>
  <c r="R25" i="16"/>
  <c r="N37" i="17" s="1"/>
  <c r="N25" i="16"/>
  <c r="N6" i="17" s="1"/>
  <c r="J25" i="16"/>
  <c r="J22" i="17" s="1"/>
  <c r="F25" i="16"/>
  <c r="J8" i="17" s="1"/>
  <c r="B25" i="16"/>
  <c r="R24" i="16"/>
  <c r="N36" i="17" s="1"/>
  <c r="N24" i="16"/>
  <c r="J24" i="16"/>
  <c r="J21" i="17" s="1"/>
  <c r="F24" i="16"/>
  <c r="J7" i="17" s="1"/>
  <c r="B24" i="16"/>
  <c r="R23" i="16"/>
  <c r="N35" i="17" s="1"/>
  <c r="N23" i="16"/>
  <c r="J23" i="16"/>
  <c r="J20" i="17" s="1"/>
  <c r="F23" i="16"/>
  <c r="J6" i="17" s="1"/>
  <c r="B23" i="16"/>
  <c r="B11" i="17" s="1"/>
  <c r="J22" i="16"/>
  <c r="F22" i="16"/>
  <c r="B22" i="16"/>
  <c r="J21" i="16"/>
  <c r="F21" i="16"/>
  <c r="B21" i="16"/>
  <c r="B20" i="16"/>
  <c r="B19" i="16"/>
  <c r="B18" i="16"/>
  <c r="B17" i="16"/>
  <c r="B16" i="16"/>
  <c r="J14" i="16"/>
  <c r="B37" i="17" s="1"/>
  <c r="F14" i="16"/>
  <c r="B14" i="16"/>
  <c r="J13" i="16"/>
  <c r="B36" i="17" s="1"/>
  <c r="F13" i="16"/>
  <c r="B13" i="16"/>
  <c r="B9" i="17" s="1"/>
  <c r="J12" i="16"/>
  <c r="B35" i="17" s="1"/>
  <c r="F12" i="16"/>
  <c r="B12" i="16"/>
  <c r="F11" i="16"/>
  <c r="B11" i="16"/>
  <c r="T10" i="16"/>
  <c r="S10" i="16"/>
  <c r="R10" i="16"/>
  <c r="Q10" i="16"/>
  <c r="P10" i="16"/>
  <c r="O10" i="16"/>
  <c r="N10" i="16"/>
  <c r="J10" i="16"/>
  <c r="B33" i="17" s="1"/>
  <c r="F10" i="16"/>
  <c r="B10" i="16"/>
  <c r="T9" i="16"/>
  <c r="S9" i="16"/>
  <c r="R9" i="16"/>
  <c r="Q9" i="16"/>
  <c r="P9" i="16"/>
  <c r="O9" i="16"/>
  <c r="N9" i="16"/>
  <c r="J9" i="16"/>
  <c r="B39" i="17" s="1"/>
  <c r="F9" i="16"/>
  <c r="B9" i="16"/>
  <c r="J8" i="16"/>
  <c r="B32" i="17" s="1"/>
  <c r="F8" i="16"/>
  <c r="B8" i="16"/>
  <c r="J7" i="16"/>
  <c r="B31" i="17" s="1"/>
  <c r="F7" i="16"/>
  <c r="B7" i="16"/>
  <c r="B5" i="17" s="1"/>
  <c r="M3" i="16"/>
  <c r="K2" i="16"/>
  <c r="J2" i="16"/>
  <c r="I2" i="16"/>
  <c r="H2" i="16"/>
  <c r="G2" i="16"/>
  <c r="F2" i="16"/>
  <c r="E2" i="16"/>
  <c r="D2" i="16"/>
  <c r="C2" i="16"/>
  <c r="B2" i="16"/>
  <c r="A2" i="16"/>
  <c r="M2" i="16" s="1"/>
  <c r="P13" i="16"/>
  <c r="F16" i="17" s="1"/>
  <c r="F50" i="16"/>
  <c r="G40" i="16" s="1"/>
  <c r="J56" i="16"/>
  <c r="K53" i="16" s="1"/>
  <c r="R30" i="16"/>
  <c r="S23" i="16" s="1"/>
  <c r="B48" i="16"/>
  <c r="C42" i="16" s="1"/>
  <c r="N44" i="16"/>
  <c r="O32" i="16" s="1"/>
  <c r="R42" i="16"/>
  <c r="S39" i="16" s="1"/>
  <c r="C39" i="17" l="1"/>
  <c r="K33" i="17"/>
  <c r="C33" i="17"/>
  <c r="K43" i="17"/>
  <c r="C34" i="17"/>
  <c r="C35" i="17"/>
  <c r="K42" i="17"/>
  <c r="K44" i="17"/>
  <c r="C41" i="16"/>
  <c r="C45" i="16"/>
  <c r="B6" i="17"/>
  <c r="J5" i="17"/>
  <c r="N5" i="17"/>
  <c r="N14" i="17" s="1"/>
  <c r="N20" i="17"/>
  <c r="S24" i="16"/>
  <c r="B7" i="17"/>
  <c r="J19" i="17"/>
  <c r="J28" i="17" s="1"/>
  <c r="K19" i="17" s="1"/>
  <c r="N41" i="17"/>
  <c r="O36" i="17" s="1"/>
  <c r="F31" i="17"/>
  <c r="N24" i="17"/>
  <c r="B8" i="17"/>
  <c r="S13" i="16"/>
  <c r="N11" i="17"/>
  <c r="K34" i="17"/>
  <c r="J9" i="17"/>
  <c r="N39" i="17"/>
  <c r="N30" i="17"/>
  <c r="O25" i="17" s="1"/>
  <c r="J49" i="17"/>
  <c r="K46" i="17" s="1"/>
  <c r="B22" i="17"/>
  <c r="B26" i="17" s="1"/>
  <c r="B41" i="17"/>
  <c r="C37" i="17" s="1"/>
  <c r="N7" i="17"/>
  <c r="N21" i="17"/>
  <c r="J37" i="17"/>
  <c r="K32" i="17" s="1"/>
  <c r="K20" i="17"/>
  <c r="K24" i="17"/>
  <c r="K22" i="17"/>
  <c r="K21" i="17"/>
  <c r="O13" i="16"/>
  <c r="F15" i="17" s="1"/>
  <c r="N54" i="16"/>
  <c r="O41" i="16"/>
  <c r="G42" i="16"/>
  <c r="S35" i="16"/>
  <c r="G43" i="16"/>
  <c r="G44" i="16"/>
  <c r="C44" i="16"/>
  <c r="B35" i="16"/>
  <c r="C12" i="16" s="1"/>
  <c r="N13" i="16"/>
  <c r="F14" i="17" s="1"/>
  <c r="G45" i="16"/>
  <c r="G46" i="16"/>
  <c r="F16" i="16"/>
  <c r="G9" i="16" s="1"/>
  <c r="U9" i="16"/>
  <c r="F5" i="17" s="1"/>
  <c r="U10" i="16"/>
  <c r="F6" i="17" s="1"/>
  <c r="C18" i="16"/>
  <c r="S28" i="16"/>
  <c r="T13" i="16"/>
  <c r="C39" i="16"/>
  <c r="S40" i="16"/>
  <c r="S26" i="16"/>
  <c r="S27" i="16"/>
  <c r="Q13" i="16"/>
  <c r="F17" i="17" s="1"/>
  <c r="C43" i="16"/>
  <c r="R13" i="16"/>
  <c r="F18" i="17" s="1"/>
  <c r="S34" i="16"/>
  <c r="O52" i="16"/>
  <c r="O50" i="16"/>
  <c r="O49" i="16"/>
  <c r="O51" i="16"/>
  <c r="O48" i="16"/>
  <c r="O30" i="16"/>
  <c r="O40" i="16"/>
  <c r="C25" i="16"/>
  <c r="C22" i="16"/>
  <c r="O35" i="16"/>
  <c r="K44" i="16"/>
  <c r="K46" i="16"/>
  <c r="K52" i="16"/>
  <c r="C28" i="16"/>
  <c r="O42" i="16"/>
  <c r="O34" i="16"/>
  <c r="C17" i="16"/>
  <c r="C16" i="16"/>
  <c r="K48" i="16"/>
  <c r="C40" i="16"/>
  <c r="O36" i="16"/>
  <c r="C27" i="16"/>
  <c r="G41" i="16"/>
  <c r="K43" i="16"/>
  <c r="O33" i="16"/>
  <c r="O24" i="16"/>
  <c r="O23" i="16"/>
  <c r="C23" i="16"/>
  <c r="K47" i="16"/>
  <c r="K40" i="16"/>
  <c r="K42" i="16"/>
  <c r="K51" i="16"/>
  <c r="C7" i="16"/>
  <c r="C31" i="16"/>
  <c r="S36" i="16"/>
  <c r="S33" i="16"/>
  <c r="O27" i="16"/>
  <c r="S25" i="16"/>
  <c r="O26" i="16"/>
  <c r="C15" i="16"/>
  <c r="C33" i="16"/>
  <c r="K50" i="16"/>
  <c r="G47" i="16"/>
  <c r="K41" i="16"/>
  <c r="J17" i="16"/>
  <c r="K9" i="16" s="1"/>
  <c r="O31" i="16"/>
  <c r="O25" i="16"/>
  <c r="C9" i="16"/>
  <c r="C26" i="16"/>
  <c r="S38" i="16"/>
  <c r="K49" i="16"/>
  <c r="C21" i="16"/>
  <c r="O29" i="16"/>
  <c r="O28" i="16"/>
  <c r="O38" i="16"/>
  <c r="S37" i="16"/>
  <c r="C29" i="16"/>
  <c r="O39" i="16"/>
  <c r="C20" i="16"/>
  <c r="O37" i="16"/>
  <c r="K45" i="16"/>
  <c r="F36" i="16"/>
  <c r="G27" i="16" s="1"/>
  <c r="J36" i="16"/>
  <c r="C21" i="17" l="1"/>
  <c r="C26" i="17"/>
  <c r="C20" i="17"/>
  <c r="O6" i="17"/>
  <c r="O12" i="17"/>
  <c r="O10" i="17"/>
  <c r="O9" i="17"/>
  <c r="O8" i="17"/>
  <c r="O11" i="17"/>
  <c r="G17" i="17"/>
  <c r="G12" i="16"/>
  <c r="O21" i="17"/>
  <c r="O35" i="17"/>
  <c r="F36" i="17"/>
  <c r="K40" i="17"/>
  <c r="K36" i="17"/>
  <c r="F9" i="17"/>
  <c r="G7" i="17" s="1"/>
  <c r="G5" i="17"/>
  <c r="G13" i="16"/>
  <c r="F22" i="17"/>
  <c r="G15" i="17" s="1"/>
  <c r="F19" i="17"/>
  <c r="O20" i="17"/>
  <c r="O19" i="17"/>
  <c r="O30" i="17" s="1"/>
  <c r="O38" i="17"/>
  <c r="K35" i="17"/>
  <c r="O7" i="17"/>
  <c r="O23" i="17"/>
  <c r="O26" i="17"/>
  <c r="O5" i="17"/>
  <c r="O37" i="17"/>
  <c r="O22" i="17"/>
  <c r="C36" i="17"/>
  <c r="C38" i="17"/>
  <c r="O39" i="17"/>
  <c r="O24" i="17"/>
  <c r="J14" i="17"/>
  <c r="K9" i="17" s="1"/>
  <c r="K5" i="17"/>
  <c r="K45" i="17"/>
  <c r="K47" i="17"/>
  <c r="C22" i="17"/>
  <c r="C32" i="16"/>
  <c r="C13" i="16"/>
  <c r="G11" i="16"/>
  <c r="K23" i="17"/>
  <c r="K28" i="17" s="1"/>
  <c r="K41" i="17"/>
  <c r="B16" i="17"/>
  <c r="C6" i="17" s="1"/>
  <c r="C31" i="17"/>
  <c r="C41" i="17" s="1"/>
  <c r="C32" i="17"/>
  <c r="K13" i="16"/>
  <c r="G14" i="16"/>
  <c r="K7" i="16"/>
  <c r="G7" i="16"/>
  <c r="U13" i="16"/>
  <c r="Q19" i="16" s="1"/>
  <c r="G8" i="16"/>
  <c r="C24" i="16"/>
  <c r="C11" i="16"/>
  <c r="K11" i="16"/>
  <c r="C8" i="16"/>
  <c r="G50" i="16"/>
  <c r="C14" i="16"/>
  <c r="G10" i="16"/>
  <c r="C10" i="16"/>
  <c r="C30" i="16"/>
  <c r="C48" i="16"/>
  <c r="C19" i="16"/>
  <c r="S30" i="16"/>
  <c r="U17" i="16"/>
  <c r="U16" i="16"/>
  <c r="T17" i="16"/>
  <c r="Q17" i="16"/>
  <c r="R16" i="16"/>
  <c r="R17" i="16"/>
  <c r="S16" i="16"/>
  <c r="T16" i="16"/>
  <c r="T19" i="16"/>
  <c r="S19" i="16"/>
  <c r="P19" i="16"/>
  <c r="G21" i="16"/>
  <c r="G32" i="16"/>
  <c r="K15" i="16"/>
  <c r="G24" i="16"/>
  <c r="S42" i="16"/>
  <c r="K56" i="16"/>
  <c r="O54" i="16"/>
  <c r="K8" i="16"/>
  <c r="G33" i="16"/>
  <c r="G22" i="16"/>
  <c r="G31" i="16"/>
  <c r="K12" i="16"/>
  <c r="G28" i="16"/>
  <c r="K10" i="16"/>
  <c r="G30" i="16"/>
  <c r="G26" i="16"/>
  <c r="G25" i="16"/>
  <c r="K14" i="16"/>
  <c r="G29" i="16"/>
  <c r="G23" i="16"/>
  <c r="O44" i="16"/>
  <c r="K29" i="16"/>
  <c r="K25" i="16"/>
  <c r="K32" i="16"/>
  <c r="K28" i="16"/>
  <c r="K31" i="16"/>
  <c r="K24" i="16"/>
  <c r="K21" i="16"/>
  <c r="K27" i="16"/>
  <c r="K22" i="16"/>
  <c r="K30" i="16"/>
  <c r="K23" i="16"/>
  <c r="K26" i="16"/>
  <c r="K33" i="16"/>
  <c r="G28" i="17" l="1"/>
  <c r="G32" i="17"/>
  <c r="G27" i="17"/>
  <c r="G36" i="17" s="1"/>
  <c r="G29" i="17"/>
  <c r="G30" i="17"/>
  <c r="O14" i="17"/>
  <c r="C7" i="17"/>
  <c r="G20" i="17"/>
  <c r="G16" i="17"/>
  <c r="O41" i="17"/>
  <c r="G16" i="16"/>
  <c r="C16" i="17"/>
  <c r="C5" i="17"/>
  <c r="C13" i="17"/>
  <c r="C11" i="17"/>
  <c r="C9" i="17"/>
  <c r="C10" i="17"/>
  <c r="C12" i="17"/>
  <c r="C14" i="17"/>
  <c r="G6" i="17"/>
  <c r="G9" i="17" s="1"/>
  <c r="U19" i="16"/>
  <c r="K37" i="17"/>
  <c r="G18" i="17"/>
  <c r="G14" i="17"/>
  <c r="K10" i="17"/>
  <c r="K7" i="17"/>
  <c r="K14" i="17" s="1"/>
  <c r="K8" i="17"/>
  <c r="K6" i="17"/>
  <c r="S17" i="16"/>
  <c r="C8" i="17"/>
  <c r="O16" i="16"/>
  <c r="O19" i="16"/>
  <c r="N19" i="16"/>
  <c r="G19" i="17"/>
  <c r="K49" i="17"/>
  <c r="G31" i="17"/>
  <c r="C35" i="16"/>
  <c r="N17" i="16"/>
  <c r="N16" i="16"/>
  <c r="P16" i="16"/>
  <c r="Q16" i="16"/>
  <c r="R19" i="16"/>
  <c r="O17" i="16"/>
  <c r="P17" i="16"/>
  <c r="K17" i="16"/>
  <c r="G36" i="16"/>
  <c r="K36" i="16"/>
  <c r="G22" i="17" l="1"/>
</calcChain>
</file>

<file path=xl/sharedStrings.xml><?xml version="1.0" encoding="utf-8"?>
<sst xmlns="http://schemas.openxmlformats.org/spreadsheetml/2006/main" count="806" uniqueCount="282">
  <si>
    <t>Code commune</t>
  </si>
  <si>
    <t>Commune</t>
  </si>
  <si>
    <t>Total demandes</t>
  </si>
  <si>
    <t>Anc. moy. (mois)</t>
  </si>
  <si>
    <t xml:space="preserve">&lt; 1 an </t>
  </si>
  <si>
    <t>1 à &lt;  2 ans</t>
  </si>
  <si>
    <t xml:space="preserve">2 à &lt; 3 ans </t>
  </si>
  <si>
    <t xml:space="preserve">3 à &lt; 4 ans </t>
  </si>
  <si>
    <t xml:space="preserve">4 à &lt; 5 ans </t>
  </si>
  <si>
    <t>5 à &lt; 10 ans</t>
  </si>
  <si>
    <t>10 ans ou +</t>
  </si>
  <si>
    <t>Incohérent</t>
  </si>
  <si>
    <t>Age moyen</t>
  </si>
  <si>
    <t>- de 20 ans</t>
  </si>
  <si>
    <t xml:space="preserve">20 - 24 ans </t>
  </si>
  <si>
    <t xml:space="preserve">25 - 29 ans </t>
  </si>
  <si>
    <t>30 - 34 ans</t>
  </si>
  <si>
    <t xml:space="preserve">35 - 39 ans </t>
  </si>
  <si>
    <t>40 - 44 ans</t>
  </si>
  <si>
    <t xml:space="preserve">45 - 49 ans </t>
  </si>
  <si>
    <t xml:space="preserve">50 - 54 ans </t>
  </si>
  <si>
    <t xml:space="preserve">55 - 59 ans </t>
  </si>
  <si>
    <t xml:space="preserve">60 - 64 ans </t>
  </si>
  <si>
    <t xml:space="preserve">65 - 69 ans </t>
  </si>
  <si>
    <t xml:space="preserve">70 - 74 ans </t>
  </si>
  <si>
    <t>75 ans et +</t>
  </si>
  <si>
    <t>Non Saisie</t>
  </si>
  <si>
    <t>Sans objet</t>
  </si>
  <si>
    <t>Française</t>
  </si>
  <si>
    <t>Hors Union Européenne</t>
  </si>
  <si>
    <t>Union Européenne</t>
  </si>
  <si>
    <t>Non Renseigné</t>
  </si>
  <si>
    <t>Taille moyenne</t>
  </si>
  <si>
    <t>1 pers</t>
  </si>
  <si>
    <t>2 pers</t>
  </si>
  <si>
    <t>3 pers</t>
  </si>
  <si>
    <t>4 pers</t>
  </si>
  <si>
    <t>5 pers</t>
  </si>
  <si>
    <t>6 pers</t>
  </si>
  <si>
    <t>7 pers</t>
  </si>
  <si>
    <t>&gt;= 8 pers</t>
  </si>
  <si>
    <t>2 codem ou +</t>
  </si>
  <si>
    <t>2 codem ou + et 1 pàc</t>
  </si>
  <si>
    <t>2 codem ou + et 2 pàc</t>
  </si>
  <si>
    <t>2 codem ou + et 3 pàc</t>
  </si>
  <si>
    <t>2 codem ou + et 4 pàc</t>
  </si>
  <si>
    <t>2 codem ou + et 5 pàc</t>
  </si>
  <si>
    <t>2 codem ou + et 6 pàc ou +</t>
  </si>
  <si>
    <t>Isolé</t>
  </si>
  <si>
    <t>Isolé 1 pàc</t>
  </si>
  <si>
    <t>Isolé 2 pàc</t>
  </si>
  <si>
    <t>Isolé 3 pàc</t>
  </si>
  <si>
    <t>Isolé 4 pàc</t>
  </si>
  <si>
    <t>Isolé 5 pàc</t>
  </si>
  <si>
    <t>Isolé 6 pàc ou +</t>
  </si>
  <si>
    <t>Non saisie</t>
  </si>
  <si>
    <t>Agent de l'État</t>
  </si>
  <si>
    <t>Agents publics</t>
  </si>
  <si>
    <t>Apprenti</t>
  </si>
  <si>
    <t>Artisan, profession libérale</t>
  </si>
  <si>
    <t>Assistant familial ou maternel</t>
  </si>
  <si>
    <t>Autre</t>
  </si>
  <si>
    <t>Autres situations</t>
  </si>
  <si>
    <t>CDD, stage, intérim</t>
  </si>
  <si>
    <t>CDI</t>
  </si>
  <si>
    <t>CDI (ou fonctionnaire)</t>
  </si>
  <si>
    <t>Chômage</t>
  </si>
  <si>
    <t>Étudiant</t>
  </si>
  <si>
    <t>Étudiant ou apprenti</t>
  </si>
  <si>
    <t>Retraité</t>
  </si>
  <si>
    <t>Salarié du privé</t>
  </si>
  <si>
    <t>Célibataire</t>
  </si>
  <si>
    <t>Concubin (e)</t>
  </si>
  <si>
    <t>Divorcé (e)</t>
  </si>
  <si>
    <t>Marié (e)</t>
  </si>
  <si>
    <t>Pacsé (e)</t>
  </si>
  <si>
    <t>Séparé (e)</t>
  </si>
  <si>
    <t>Veuf (ve)</t>
  </si>
  <si>
    <t>Revenu moyen</t>
  </si>
  <si>
    <t>0€</t>
  </si>
  <si>
    <t>1 - 499€</t>
  </si>
  <si>
    <t>500 - 999€</t>
  </si>
  <si>
    <t>1 000 - 1 499€</t>
  </si>
  <si>
    <t>1 500 - 1 999€</t>
  </si>
  <si>
    <t>2 000 - 2 499€</t>
  </si>
  <si>
    <t>2 500 - 2 999€</t>
  </si>
  <si>
    <t>3 000 - 3 499€</t>
  </si>
  <si>
    <t>3 500 - 3 999€</t>
  </si>
  <si>
    <t>4 000 - 4 499€</t>
  </si>
  <si>
    <t>4 500 - 4 999€</t>
  </si>
  <si>
    <t>&gt;= 5 000€</t>
  </si>
  <si>
    <t>Négatives</t>
  </si>
  <si>
    <t>=&lt; PLAI</t>
  </si>
  <si>
    <t>&gt; PLAI et =&lt; PLUS</t>
  </si>
  <si>
    <t>&gt; PLUS et =&lt;PLS</t>
  </si>
  <si>
    <t>&gt; PLS</t>
  </si>
  <si>
    <t>Camping</t>
  </si>
  <si>
    <t>Centre enfance famille</t>
  </si>
  <si>
    <t>Chez parents/enfants</t>
  </si>
  <si>
    <t>Chez particulier</t>
  </si>
  <si>
    <t>Coordination thérapeutique</t>
  </si>
  <si>
    <t>Habitat mobile</t>
  </si>
  <si>
    <t>Hôtel</t>
  </si>
  <si>
    <t>Locataire HLM</t>
  </si>
  <si>
    <t>Locataire parc privé</t>
  </si>
  <si>
    <t>Logé gratuit.</t>
  </si>
  <si>
    <t>Logement fonction</t>
  </si>
  <si>
    <t>Logement temporaire</t>
  </si>
  <si>
    <t>Propriétaire occupant</t>
  </si>
  <si>
    <t>Résidence étudiant</t>
  </si>
  <si>
    <t>RHVS</t>
  </si>
  <si>
    <t>RS, foyer</t>
  </si>
  <si>
    <t>Sans abri</t>
  </si>
  <si>
    <t>Squat</t>
  </si>
  <si>
    <t>Structure d'hébergement</t>
  </si>
  <si>
    <t>Assistante maternelle</t>
  </si>
  <si>
    <t>Autre motif</t>
  </si>
  <si>
    <t>Décohabitation</t>
  </si>
  <si>
    <t>Démolition</t>
  </si>
  <si>
    <t>Divorce, séparation</t>
  </si>
  <si>
    <t>En procédure d'expulsion</t>
  </si>
  <si>
    <t>Futur couple</t>
  </si>
  <si>
    <t>Inadapté handicap</t>
  </si>
  <si>
    <t>Logement éloigné famille</t>
  </si>
  <si>
    <t>Logement éloigné services</t>
  </si>
  <si>
    <t>Logement éloigné travail</t>
  </si>
  <si>
    <t>Logement indigne</t>
  </si>
  <si>
    <t>Logement non décent</t>
  </si>
  <si>
    <t>Logement repris</t>
  </si>
  <si>
    <t>Logement trop cher</t>
  </si>
  <si>
    <t>Logement trop grand</t>
  </si>
  <si>
    <t>Logement trop petit</t>
  </si>
  <si>
    <t>Mobilité professionnelle</t>
  </si>
  <si>
    <t>Pb. environnement/voisinage</t>
  </si>
  <si>
    <t>Procédure d'expulsion</t>
  </si>
  <si>
    <t>Propriétaire en difficulté</t>
  </si>
  <si>
    <t>Raisons de santé</t>
  </si>
  <si>
    <t>Regroupement familial</t>
  </si>
  <si>
    <t>Renouvellement urbain</t>
  </si>
  <si>
    <t>Sans logement propre</t>
  </si>
  <si>
    <t>Violences familiales</t>
  </si>
  <si>
    <t>Zone A</t>
  </si>
  <si>
    <t>Zone A bis</t>
  </si>
  <si>
    <t>Zone B1</t>
  </si>
  <si>
    <t>Zone B2</t>
  </si>
  <si>
    <t>Zone C</t>
  </si>
  <si>
    <t>Zone I</t>
  </si>
  <si>
    <t>Zone I bis</t>
  </si>
  <si>
    <t>Zone II</t>
  </si>
  <si>
    <t>Zone III</t>
  </si>
  <si>
    <t>Revenu UC moyen</t>
  </si>
  <si>
    <t>Travail</t>
  </si>
  <si>
    <t>Prime d'activité</t>
  </si>
  <si>
    <t>RSA</t>
  </si>
  <si>
    <t>Chomage</t>
  </si>
  <si>
    <t>Alloc Familiales</t>
  </si>
  <si>
    <t>Retraite</t>
  </si>
  <si>
    <t>Autres</t>
  </si>
  <si>
    <t>Sans Objet</t>
  </si>
  <si>
    <t>Ch/T1</t>
  </si>
  <si>
    <t>T2</t>
  </si>
  <si>
    <t>T3</t>
  </si>
  <si>
    <t>T4</t>
  </si>
  <si>
    <t>T5</t>
  </si>
  <si>
    <t>T6 ou plus</t>
  </si>
  <si>
    <t>Incohérent/NR</t>
  </si>
  <si>
    <t>CC Lodévois et Larzac</t>
  </si>
  <si>
    <t>CC du Grand Pic Saint-Loup</t>
  </si>
  <si>
    <t>CC Grand Orb communauté de communes en Languedoc</t>
  </si>
  <si>
    <t>CC Sud-Hérault</t>
  </si>
  <si>
    <t>CA Sète Agglopôle Méditerranée</t>
  </si>
  <si>
    <t>CC du Minervois au Caroux</t>
  </si>
  <si>
    <t>CC des Monts de Lacaune et de la Montagne du Haut Languedoc</t>
  </si>
  <si>
    <t>CC Les Avant-Monts</t>
  </si>
  <si>
    <t>Montpellier Méditerranée Métropole</t>
  </si>
  <si>
    <t>CC du Clermontais</t>
  </si>
  <si>
    <t>CA du Pays de l'Or</t>
  </si>
  <si>
    <t>CC la Domitienne</t>
  </si>
  <si>
    <t>CA Hérault-Méditerranée</t>
  </si>
  <si>
    <t>243400819</t>
  </si>
  <si>
    <t>CA de Béziers-Méditerranée</t>
  </si>
  <si>
    <t>243400769</t>
  </si>
  <si>
    <t>CC Vallée de l'Hérault</t>
  </si>
  <si>
    <t>CC des Cévennes Gangeoises et Suménoises</t>
  </si>
  <si>
    <t>CC du Pays de Lunel</t>
  </si>
  <si>
    <t>Demande HLM adressée au territoire au 31 décembre 2020</t>
  </si>
  <si>
    <t>Profil des demandeurs</t>
  </si>
  <si>
    <t>Profil des demandeurs (suite)</t>
  </si>
  <si>
    <t>motif de la demande</t>
  </si>
  <si>
    <t>situation familiale</t>
  </si>
  <si>
    <t>situation professionnelle</t>
  </si>
  <si>
    <t>composition familiale</t>
  </si>
  <si>
    <t>personne(s) à charge</t>
  </si>
  <si>
    <t>Artisan, prof lib</t>
  </si>
  <si>
    <t>aucune</t>
  </si>
  <si>
    <t>6 ou +</t>
  </si>
  <si>
    <t>total</t>
  </si>
  <si>
    <t>couple</t>
  </si>
  <si>
    <t>CDD, stage</t>
  </si>
  <si>
    <t>isolé</t>
  </si>
  <si>
    <t>CDI (ou fctnaire)</t>
  </si>
  <si>
    <t>Non disponible</t>
  </si>
  <si>
    <t>Handicap</t>
  </si>
  <si>
    <t>Logement non habitable</t>
  </si>
  <si>
    <t>revenus du demandeur</t>
  </si>
  <si>
    <t>revenus par équiv adulte</t>
  </si>
  <si>
    <t>Pb envmnt/voisinage</t>
  </si>
  <si>
    <t>logement actuel</t>
  </si>
  <si>
    <t>logement demandé</t>
  </si>
  <si>
    <t>Camping, caravaning</t>
  </si>
  <si>
    <t>Chambre / T1</t>
  </si>
  <si>
    <t>Rapprochement famille</t>
  </si>
  <si>
    <t>Rapprochement services</t>
  </si>
  <si>
    <t>Rapprochement travail</t>
  </si>
  <si>
    <t>Loc HLM</t>
  </si>
  <si>
    <t>Loc parc privé</t>
  </si>
  <si>
    <t>Logé gratuit</t>
  </si>
  <si>
    <t>5 000€ ou +</t>
  </si>
  <si>
    <t>Type de revenus</t>
  </si>
  <si>
    <t>Prime d'actvté</t>
  </si>
  <si>
    <t>revenu moyen</t>
  </si>
  <si>
    <t>ancienneté de la demande</t>
  </si>
  <si>
    <t>Alloc Fam</t>
  </si>
  <si>
    <t>taille du ménage</t>
  </si>
  <si>
    <t>âge du demandeur</t>
  </si>
  <si>
    <t>Sous-loc ou hébergé temp</t>
  </si>
  <si>
    <t>inf à 1 an</t>
  </si>
  <si>
    <t>inf 20 ans</t>
  </si>
  <si>
    <t>occupant sans titre</t>
  </si>
  <si>
    <t>2 à &lt; 3 ans</t>
  </si>
  <si>
    <t>20 - 24 ans</t>
  </si>
  <si>
    <t>3 à &lt; 4 ans</t>
  </si>
  <si>
    <t>25 - 29 ans</t>
  </si>
  <si>
    <t>4 à &lt; 5 ans</t>
  </si>
  <si>
    <t>35 - 39 ans</t>
  </si>
  <si>
    <t>45 - 49 ans</t>
  </si>
  <si>
    <t>plafonds de revenus</t>
  </si>
  <si>
    <t xml:space="preserve">ancienneté moyenne : </t>
  </si>
  <si>
    <t>8 pers ou +</t>
  </si>
  <si>
    <t>50 - 54 ans</t>
  </si>
  <si>
    <t>55 - 59 ans</t>
  </si>
  <si>
    <t>PLAI</t>
  </si>
  <si>
    <t>taille moyenne</t>
  </si>
  <si>
    <t>60 - 64 ans</t>
  </si>
  <si>
    <t>PLUS</t>
  </si>
  <si>
    <t>65 - 69 ans</t>
  </si>
  <si>
    <t>PLS</t>
  </si>
  <si>
    <t>70 - 74 ans</t>
  </si>
  <si>
    <t>Supérieur PLS</t>
  </si>
  <si>
    <t>âge moyen</t>
  </si>
  <si>
    <t>revenus mensuels du ménage</t>
  </si>
  <si>
    <t>logement antérieur</t>
  </si>
  <si>
    <t>Raison professionnelle</t>
  </si>
  <si>
    <t>Couple</t>
  </si>
  <si>
    <t>inf à 500€</t>
  </si>
  <si>
    <t>Camping, squat, ss abri/titre</t>
  </si>
  <si>
    <t>Raison familiale</t>
  </si>
  <si>
    <t>Isolé(e)</t>
  </si>
  <si>
    <t>Résidence, hébergement</t>
  </si>
  <si>
    <t>Raison de santé</t>
  </si>
  <si>
    <t>Entraide</t>
  </si>
  <si>
    <t>Sortie obligatoire</t>
  </si>
  <si>
    <t>Logement inadapté</t>
  </si>
  <si>
    <t>2 000€ ou +</t>
  </si>
  <si>
    <t>Situation du logement</t>
  </si>
  <si>
    <t>Log.fonc. ou PO</t>
  </si>
  <si>
    <t>sans logement propre</t>
  </si>
  <si>
    <t>Nombre de personnes à charge</t>
  </si>
  <si>
    <t>5 ou plus</t>
  </si>
  <si>
    <t>20 - 29 ans</t>
  </si>
  <si>
    <t>30 - 39 ans</t>
  </si>
  <si>
    <t>2 ans ou +</t>
  </si>
  <si>
    <t>40 - 49 ans</t>
  </si>
  <si>
    <t>50 - 59 ans</t>
  </si>
  <si>
    <t xml:space="preserve">ancienneté moyenne </t>
  </si>
  <si>
    <t>60 - 69 ans</t>
  </si>
  <si>
    <t>70 ans ou +</t>
  </si>
  <si>
    <t>5 pers ou plus</t>
  </si>
  <si>
    <t>logement attibué</t>
  </si>
  <si>
    <t>T1</t>
  </si>
  <si>
    <t>T5 ou plus</t>
  </si>
  <si>
    <t>Profil des demandeurs HLM en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</si>
</sst>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164" formatCode="#,##0.0;\-#,##0.0"/>
    <numFmt numFmtId="165" formatCode="0.0%"/>
    <numFmt numFmtId="166" formatCode="#,##0\ &quot;€&quot;"/>
    <numFmt numFmtId="167" formatCode="0.0&quot; mois&quot;"/>
    <numFmt numFmtId="168" formatCode="0.0&quot; personnes&quot;"/>
    <numFmt numFmtId="169" formatCode="0.0&quot; ans&quot;"/>
    <numFmt numFmtId="170" formatCode="0&quot; mois&quot;"/>
    <numFmt numFmtId="171" formatCode="0&quot; ans&quot;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63"/>
      <name val="Arial"/>
      <family val="2"/>
    </font>
    <font>
      <b/>
      <sz val="10"/>
      <color indexed="60"/>
      <name val="Arial"/>
      <family val="2"/>
    </font>
    <font>
      <b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49" fontId="3" fillId="2" borderId="3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5" borderId="10" xfId="0" applyFill="1" applyBorder="1"/>
    <xf numFmtId="0" fontId="9" fillId="5" borderId="9" xfId="0" applyFont="1" applyFill="1" applyBorder="1"/>
    <xf numFmtId="165" fontId="10" fillId="5" borderId="15" xfId="0" applyNumberFormat="1" applyFont="1" applyFill="1" applyBorder="1"/>
    <xf numFmtId="3" fontId="9" fillId="5" borderId="14" xfId="0" applyNumberFormat="1" applyFont="1" applyFill="1" applyBorder="1"/>
    <xf numFmtId="0" fontId="9" fillId="5" borderId="10" xfId="0" applyFont="1" applyFill="1" applyBorder="1" applyAlignment="1">
      <alignment horizontal="center"/>
    </xf>
    <xf numFmtId="3" fontId="9" fillId="5" borderId="0" xfId="0" applyNumberFormat="1" applyFont="1" applyFill="1" applyBorder="1"/>
    <xf numFmtId="0" fontId="10" fillId="5" borderId="10" xfId="0" applyFont="1" applyFill="1" applyBorder="1"/>
    <xf numFmtId="0" fontId="11" fillId="5" borderId="11" xfId="0" applyFont="1" applyFill="1" applyBorder="1"/>
    <xf numFmtId="3" fontId="11" fillId="5" borderId="12" xfId="0" applyNumberFormat="1" applyFont="1" applyFill="1" applyBorder="1"/>
    <xf numFmtId="165" fontId="12" fillId="5" borderId="13" xfId="0" applyNumberFormat="1" applyFont="1" applyFill="1" applyBorder="1"/>
    <xf numFmtId="0" fontId="9" fillId="5" borderId="11" xfId="0" applyFont="1" applyFill="1" applyBorder="1"/>
    <xf numFmtId="165" fontId="12" fillId="5" borderId="13" xfId="0" applyNumberFormat="1" applyFont="1" applyFill="1" applyBorder="1" applyAlignment="1">
      <alignment horizontal="center"/>
    </xf>
    <xf numFmtId="0" fontId="13" fillId="5" borderId="9" xfId="0" applyFont="1" applyFill="1" applyBorder="1"/>
    <xf numFmtId="165" fontId="0" fillId="5" borderId="0" xfId="0" applyNumberFormat="1" applyFill="1"/>
    <xf numFmtId="0" fontId="14" fillId="5" borderId="9" xfId="0" applyFont="1" applyFill="1" applyBorder="1"/>
    <xf numFmtId="166" fontId="14" fillId="5" borderId="0" xfId="0" applyNumberFormat="1" applyFont="1" applyFill="1" applyBorder="1"/>
    <xf numFmtId="3" fontId="0" fillId="0" borderId="0" xfId="0" applyNumberFormat="1"/>
    <xf numFmtId="165" fontId="10" fillId="5" borderId="15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/>
    <xf numFmtId="165" fontId="10" fillId="5" borderId="10" xfId="0" applyNumberFormat="1" applyFont="1" applyFill="1" applyBorder="1" applyAlignment="1">
      <alignment horizontal="center"/>
    </xf>
    <xf numFmtId="165" fontId="16" fillId="0" borderId="10" xfId="0" applyNumberFormat="1" applyFont="1" applyBorder="1"/>
    <xf numFmtId="3" fontId="0" fillId="5" borderId="0" xfId="0" applyNumberFormat="1" applyFill="1" applyBorder="1"/>
    <xf numFmtId="0" fontId="0" fillId="5" borderId="11" xfId="0" applyFill="1" applyBorder="1"/>
    <xf numFmtId="3" fontId="6" fillId="5" borderId="12" xfId="0" applyNumberFormat="1" applyFont="1" applyFill="1" applyBorder="1"/>
    <xf numFmtId="165" fontId="17" fillId="5" borderId="13" xfId="0" applyNumberFormat="1" applyFont="1" applyFill="1" applyBorder="1"/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9" fillId="5" borderId="0" xfId="0" applyFont="1" applyFill="1"/>
    <xf numFmtId="0" fontId="19" fillId="0" borderId="0" xfId="0" applyFont="1" applyFill="1"/>
    <xf numFmtId="165" fontId="10" fillId="5" borderId="18" xfId="0" applyNumberFormat="1" applyFont="1" applyFill="1" applyBorder="1" applyAlignment="1">
      <alignment horizontal="center"/>
    </xf>
    <xf numFmtId="165" fontId="10" fillId="5" borderId="18" xfId="0" applyNumberFormat="1" applyFont="1" applyFill="1" applyBorder="1"/>
    <xf numFmtId="0" fontId="10" fillId="5" borderId="10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0" fillId="0" borderId="0" xfId="0" applyBorder="1"/>
    <xf numFmtId="0" fontId="0" fillId="0" borderId="10" xfId="0" applyBorder="1"/>
    <xf numFmtId="0" fontId="9" fillId="5" borderId="9" xfId="0" applyFont="1" applyFill="1" applyBorder="1" applyAlignment="1">
      <alignment horizontal="left"/>
    </xf>
    <xf numFmtId="3" fontId="0" fillId="0" borderId="14" xfId="0" applyNumberFormat="1" applyBorder="1"/>
    <xf numFmtId="165" fontId="16" fillId="0" borderId="15" xfId="0" applyNumberFormat="1" applyFont="1" applyBorder="1" applyAlignment="1">
      <alignment horizontal="center"/>
    </xf>
    <xf numFmtId="3" fontId="0" fillId="0" borderId="19" xfId="0" applyNumberFormat="1" applyBorder="1"/>
    <xf numFmtId="0" fontId="0" fillId="0" borderId="0" xfId="0" applyFill="1" applyBorder="1" applyAlignment="1"/>
    <xf numFmtId="3" fontId="0" fillId="0" borderId="0" xfId="0" applyNumberFormat="1" applyFill="1" applyBorder="1" applyAlignme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9" xfId="0" applyBorder="1"/>
    <xf numFmtId="165" fontId="10" fillId="5" borderId="15" xfId="1" applyNumberFormat="1" applyFont="1" applyFill="1" applyBorder="1" applyAlignment="1">
      <alignment horizontal="center"/>
    </xf>
    <xf numFmtId="3" fontId="9" fillId="5" borderId="14" xfId="0" applyNumberFormat="1" applyFont="1" applyFill="1" applyBorder="1" applyAlignment="1"/>
    <xf numFmtId="0" fontId="16" fillId="5" borderId="10" xfId="0" applyFont="1" applyFill="1" applyBorder="1" applyAlignment="1">
      <alignment horizontal="center"/>
    </xf>
    <xf numFmtId="165" fontId="17" fillId="5" borderId="13" xfId="0" applyNumberFormat="1" applyFont="1" applyFill="1" applyBorder="1" applyAlignment="1">
      <alignment horizontal="center"/>
    </xf>
    <xf numFmtId="165" fontId="16" fillId="5" borderId="10" xfId="0" applyNumberFormat="1" applyFont="1" applyFill="1" applyBorder="1" applyAlignment="1">
      <alignment horizontal="center"/>
    </xf>
    <xf numFmtId="0" fontId="9" fillId="0" borderId="9" xfId="0" applyFont="1" applyBorder="1"/>
    <xf numFmtId="170" fontId="14" fillId="5" borderId="0" xfId="0" applyNumberFormat="1" applyFont="1" applyFill="1" applyBorder="1"/>
    <xf numFmtId="0" fontId="9" fillId="5" borderId="0" xfId="0" applyFont="1" applyFill="1" applyBorder="1"/>
    <xf numFmtId="3" fontId="11" fillId="5" borderId="12" xfId="0" applyNumberFormat="1" applyFont="1" applyFill="1" applyBorder="1" applyAlignment="1"/>
    <xf numFmtId="165" fontId="10" fillId="5" borderId="10" xfId="1" applyNumberFormat="1" applyFont="1" applyFill="1" applyBorder="1" applyAlignment="1">
      <alignment horizontal="center"/>
    </xf>
    <xf numFmtId="171" fontId="14" fillId="5" borderId="0" xfId="0" applyNumberFormat="1" applyFont="1" applyFill="1" applyBorder="1"/>
    <xf numFmtId="165" fontId="12" fillId="5" borderId="13" xfId="1" applyNumberFormat="1" applyFont="1" applyFill="1" applyBorder="1" applyAlignment="1">
      <alignment horizontal="center"/>
    </xf>
    <xf numFmtId="3" fontId="0" fillId="0" borderId="0" xfId="0" applyNumberFormat="1" applyBorder="1"/>
    <xf numFmtId="168" fontId="14" fillId="5" borderId="0" xfId="0" applyNumberFormat="1" applyFont="1" applyFill="1" applyBorder="1"/>
    <xf numFmtId="0" fontId="6" fillId="5" borderId="0" xfId="0" applyFont="1" applyFill="1" applyBorder="1"/>
    <xf numFmtId="165" fontId="17" fillId="5" borderId="0" xfId="0" applyNumberFormat="1" applyFont="1" applyFill="1" applyBorder="1" applyAlignment="1">
      <alignment horizontal="center"/>
    </xf>
    <xf numFmtId="0" fontId="6" fillId="0" borderId="0" xfId="0" applyFont="1" applyBorder="1"/>
    <xf numFmtId="165" fontId="17" fillId="0" borderId="0" xfId="0" applyNumberFormat="1" applyFont="1" applyBorder="1" applyAlignment="1">
      <alignment horizontal="center"/>
    </xf>
    <xf numFmtId="3" fontId="11" fillId="5" borderId="0" xfId="0" applyNumberFormat="1" applyFont="1" applyFill="1" applyBorder="1"/>
    <xf numFmtId="165" fontId="12" fillId="5" borderId="0" xfId="0" applyNumberFormat="1" applyFont="1" applyFill="1" applyBorder="1" applyAlignment="1">
      <alignment horizontal="center"/>
    </xf>
    <xf numFmtId="0" fontId="6" fillId="3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7" fillId="4" borderId="0" xfId="0" applyFont="1" applyFill="1" applyAlignment="1" applyProtection="1">
      <alignment horizontal="center"/>
    </xf>
    <xf numFmtId="0" fontId="5" fillId="0" borderId="0" xfId="0" applyFont="1" applyProtection="1"/>
    <xf numFmtId="0" fontId="0" fillId="0" borderId="0" xfId="0" applyProtection="1"/>
    <xf numFmtId="0" fontId="8" fillId="5" borderId="0" xfId="0" applyFont="1" applyFill="1" applyAlignment="1" applyProtection="1">
      <alignment horizontal="center"/>
    </xf>
    <xf numFmtId="0" fontId="0" fillId="5" borderId="0" xfId="0" applyFill="1" applyProtection="1"/>
    <xf numFmtId="0" fontId="8" fillId="6" borderId="6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/>
    </xf>
    <xf numFmtId="0" fontId="8" fillId="6" borderId="8" xfId="0" applyFont="1" applyFill="1" applyBorder="1" applyAlignment="1" applyProtection="1">
      <alignment horizontal="center"/>
    </xf>
    <xf numFmtId="0" fontId="0" fillId="5" borderId="9" xfId="0" applyFill="1" applyBorder="1" applyProtection="1"/>
    <xf numFmtId="0" fontId="0" fillId="5" borderId="0" xfId="0" applyFill="1" applyBorder="1" applyProtection="1"/>
    <xf numFmtId="0" fontId="0" fillId="5" borderId="10" xfId="0" applyFill="1" applyBorder="1" applyProtection="1"/>
    <xf numFmtId="0" fontId="0" fillId="5" borderId="9" xfId="0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9" fillId="5" borderId="9" xfId="0" applyFont="1" applyFill="1" applyBorder="1" applyProtection="1"/>
    <xf numFmtId="3" fontId="9" fillId="0" borderId="14" xfId="0" applyNumberFormat="1" applyFont="1" applyFill="1" applyBorder="1" applyProtection="1"/>
    <xf numFmtId="165" fontId="10" fillId="5" borderId="15" xfId="0" applyNumberFormat="1" applyFont="1" applyFill="1" applyBorder="1" applyProtection="1"/>
    <xf numFmtId="3" fontId="9" fillId="5" borderId="14" xfId="0" applyNumberFormat="1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5" borderId="10" xfId="0" applyFont="1" applyFill="1" applyBorder="1" applyProtection="1"/>
    <xf numFmtId="0" fontId="9" fillId="5" borderId="0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3" fontId="9" fillId="5" borderId="15" xfId="0" applyNumberFormat="1" applyFont="1" applyFill="1" applyBorder="1" applyAlignment="1" applyProtection="1">
      <alignment horizontal="center"/>
    </xf>
    <xf numFmtId="3" fontId="9" fillId="5" borderId="0" xfId="0" applyNumberFormat="1" applyFont="1" applyFill="1" applyBorder="1" applyProtection="1"/>
    <xf numFmtId="3" fontId="9" fillId="5" borderId="14" xfId="0" applyNumberFormat="1" applyFont="1" applyFill="1" applyBorder="1" applyAlignment="1" applyProtection="1">
      <alignment horizontal="center"/>
    </xf>
    <xf numFmtId="3" fontId="9" fillId="5" borderId="10" xfId="0" applyNumberFormat="1" applyFont="1" applyFill="1" applyBorder="1" applyProtection="1"/>
    <xf numFmtId="3" fontId="11" fillId="5" borderId="0" xfId="0" applyNumberFormat="1" applyFont="1" applyFill="1" applyBorder="1" applyAlignment="1" applyProtection="1">
      <alignment horizontal="center"/>
    </xf>
    <xf numFmtId="3" fontId="11" fillId="5" borderId="10" xfId="0" applyNumberFormat="1" applyFont="1" applyFill="1" applyBorder="1" applyAlignment="1" applyProtection="1">
      <alignment horizontal="center"/>
    </xf>
    <xf numFmtId="3" fontId="9" fillId="5" borderId="0" xfId="0" applyNumberFormat="1" applyFont="1" applyFill="1" applyBorder="1" applyAlignment="1" applyProtection="1">
      <alignment horizontal="center"/>
    </xf>
    <xf numFmtId="3" fontId="9" fillId="5" borderId="10" xfId="0" applyNumberFormat="1" applyFont="1" applyFill="1" applyBorder="1" applyAlignment="1" applyProtection="1">
      <alignment horizontal="center"/>
    </xf>
    <xf numFmtId="0" fontId="10" fillId="5" borderId="10" xfId="0" applyFont="1" applyFill="1" applyBorder="1" applyProtection="1"/>
    <xf numFmtId="0" fontId="11" fillId="5" borderId="11" xfId="0" applyFont="1" applyFill="1" applyBorder="1" applyProtection="1"/>
    <xf numFmtId="3" fontId="11" fillId="5" borderId="12" xfId="0" applyNumberFormat="1" applyFont="1" applyFill="1" applyBorder="1" applyProtection="1"/>
    <xf numFmtId="165" fontId="12" fillId="5" borderId="13" xfId="0" applyNumberFormat="1" applyFont="1" applyFill="1" applyBorder="1" applyProtection="1"/>
    <xf numFmtId="165" fontId="10" fillId="5" borderId="14" xfId="0" applyNumberFormat="1" applyFont="1" applyFill="1" applyBorder="1" applyAlignment="1" applyProtection="1">
      <alignment horizontal="center"/>
    </xf>
    <xf numFmtId="165" fontId="10" fillId="5" borderId="16" xfId="0" applyNumberFormat="1" applyFont="1" applyFill="1" applyBorder="1" applyAlignment="1" applyProtection="1">
      <alignment horizontal="center"/>
    </xf>
    <xf numFmtId="3" fontId="0" fillId="5" borderId="0" xfId="0" applyNumberFormat="1" applyFill="1" applyProtection="1"/>
    <xf numFmtId="3" fontId="11" fillId="0" borderId="12" xfId="0" applyNumberFormat="1" applyFont="1" applyFill="1" applyBorder="1" applyProtection="1"/>
    <xf numFmtId="0" fontId="10" fillId="5" borderId="0" xfId="0" applyFont="1" applyFill="1" applyBorder="1" applyProtection="1"/>
    <xf numFmtId="0" fontId="9" fillId="5" borderId="11" xfId="0" applyFont="1" applyFill="1" applyBorder="1" applyProtection="1"/>
    <xf numFmtId="165" fontId="12" fillId="5" borderId="12" xfId="0" applyNumberFormat="1" applyFont="1" applyFill="1" applyBorder="1" applyAlignment="1" applyProtection="1">
      <alignment horizontal="center"/>
    </xf>
    <xf numFmtId="165" fontId="12" fillId="5" borderId="13" xfId="0" applyNumberFormat="1" applyFont="1" applyFill="1" applyBorder="1" applyAlignment="1" applyProtection="1">
      <alignment horizontal="center"/>
    </xf>
    <xf numFmtId="6" fontId="9" fillId="5" borderId="9" xfId="0" applyNumberFormat="1" applyFont="1" applyFill="1" applyBorder="1" applyAlignment="1" applyProtection="1">
      <alignment horizontal="left"/>
    </xf>
    <xf numFmtId="0" fontId="13" fillId="5" borderId="9" xfId="0" applyFont="1" applyFill="1" applyBorder="1" applyProtection="1"/>
    <xf numFmtId="0" fontId="10" fillId="5" borderId="17" xfId="0" applyFont="1" applyFill="1" applyBorder="1" applyProtection="1"/>
    <xf numFmtId="165" fontId="10" fillId="5" borderId="10" xfId="0" applyNumberFormat="1" applyFont="1" applyFill="1" applyBorder="1" applyProtection="1"/>
    <xf numFmtId="165" fontId="0" fillId="5" borderId="0" xfId="0" applyNumberFormat="1" applyFill="1" applyProtection="1"/>
    <xf numFmtId="0" fontId="14" fillId="5" borderId="9" xfId="0" applyFont="1" applyFill="1" applyBorder="1" applyProtection="1"/>
    <xf numFmtId="166" fontId="14" fillId="5" borderId="0" xfId="0" applyNumberFormat="1" applyFont="1" applyFill="1" applyBorder="1" applyProtection="1"/>
    <xf numFmtId="166" fontId="14" fillId="5" borderId="0" xfId="0" applyNumberFormat="1" applyFont="1" applyFill="1" applyBorder="1" applyAlignment="1" applyProtection="1">
      <alignment horizontal="left"/>
    </xf>
    <xf numFmtId="166" fontId="14" fillId="5" borderId="10" xfId="0" applyNumberFormat="1" applyFont="1" applyFill="1" applyBorder="1" applyAlignment="1" applyProtection="1">
      <alignment horizontal="left"/>
    </xf>
    <xf numFmtId="3" fontId="0" fillId="0" borderId="0" xfId="0" applyNumberFormat="1" applyProtection="1"/>
    <xf numFmtId="0" fontId="15" fillId="5" borderId="9" xfId="0" applyFont="1" applyFill="1" applyBorder="1" applyProtection="1"/>
    <xf numFmtId="165" fontId="10" fillId="5" borderId="15" xfId="0" applyNumberFormat="1" applyFont="1" applyFill="1" applyBorder="1" applyAlignment="1" applyProtection="1">
      <alignment horizontal="center"/>
    </xf>
    <xf numFmtId="3" fontId="9" fillId="5" borderId="0" xfId="0" applyNumberFormat="1" applyFont="1" applyFill="1" applyBorder="1" applyAlignment="1" applyProtection="1"/>
    <xf numFmtId="165" fontId="10" fillId="5" borderId="10" xfId="0" applyNumberFormat="1" applyFont="1" applyFill="1" applyBorder="1" applyAlignment="1" applyProtection="1">
      <alignment horizontal="center"/>
    </xf>
    <xf numFmtId="0" fontId="14" fillId="5" borderId="9" xfId="0" applyFont="1" applyFill="1" applyBorder="1" applyAlignment="1" applyProtection="1">
      <alignment horizontal="right"/>
    </xf>
    <xf numFmtId="167" fontId="14" fillId="5" borderId="0" xfId="0" applyNumberFormat="1" applyFont="1" applyFill="1" applyBorder="1" applyAlignment="1" applyProtection="1">
      <alignment horizontal="center"/>
    </xf>
    <xf numFmtId="167" fontId="14" fillId="5" borderId="10" xfId="0" applyNumberFormat="1" applyFont="1" applyFill="1" applyBorder="1" applyAlignment="1" applyProtection="1">
      <alignment horizontal="center"/>
    </xf>
    <xf numFmtId="165" fontId="16" fillId="0" borderId="10" xfId="0" applyNumberFormat="1" applyFont="1" applyBorder="1" applyProtection="1"/>
    <xf numFmtId="168" fontId="14" fillId="5" borderId="0" xfId="0" applyNumberFormat="1" applyFont="1" applyFill="1" applyBorder="1" applyAlignment="1" applyProtection="1">
      <alignment horizontal="center"/>
    </xf>
    <xf numFmtId="168" fontId="14" fillId="5" borderId="10" xfId="0" applyNumberFormat="1" applyFont="1" applyFill="1" applyBorder="1" applyAlignment="1" applyProtection="1">
      <alignment horizontal="center"/>
    </xf>
    <xf numFmtId="165" fontId="16" fillId="5" borderId="10" xfId="0" applyNumberFormat="1" applyFont="1" applyFill="1" applyBorder="1" applyProtection="1"/>
    <xf numFmtId="3" fontId="0" fillId="5" borderId="0" xfId="0" applyNumberFormat="1" applyFill="1" applyBorder="1" applyProtection="1"/>
    <xf numFmtId="0" fontId="0" fillId="5" borderId="11" xfId="0" applyFill="1" applyBorder="1" applyProtection="1"/>
    <xf numFmtId="3" fontId="6" fillId="5" borderId="12" xfId="0" applyNumberFormat="1" applyFont="1" applyFill="1" applyBorder="1" applyProtection="1"/>
    <xf numFmtId="165" fontId="17" fillId="5" borderId="13" xfId="0" applyNumberFormat="1" applyFont="1" applyFill="1" applyBorder="1" applyProtection="1"/>
    <xf numFmtId="169" fontId="14" fillId="5" borderId="0" xfId="0" applyNumberFormat="1" applyFont="1" applyFill="1" applyBorder="1" applyAlignment="1" applyProtection="1">
      <alignment horizontal="left"/>
    </xf>
    <xf numFmtId="169" fontId="14" fillId="5" borderId="10" xfId="0" applyNumberFormat="1" applyFont="1" applyFill="1" applyBorder="1" applyAlignment="1" applyProtection="1">
      <alignment horizontal="left"/>
    </xf>
  </cellXfs>
  <cellStyles count="2">
    <cellStyle name="Normal" xfId="0" builtinId="0"/>
    <cellStyle name="Pourcentag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51</xdr:row>
      <xdr:rowOff>142875</xdr:rowOff>
    </xdr:from>
    <xdr:to>
      <xdr:col>7</xdr:col>
      <xdr:colOff>190500</xdr:colOff>
      <xdr:row>54</xdr:row>
      <xdr:rowOff>142875</xdr:rowOff>
    </xdr:to>
    <xdr:pic>
      <xdr:nvPicPr>
        <xdr:cNvPr id="1028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372600"/>
          <a:ext cx="1524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51</xdr:row>
      <xdr:rowOff>142875</xdr:rowOff>
    </xdr:from>
    <xdr:to>
      <xdr:col>4</xdr:col>
      <xdr:colOff>419100</xdr:colOff>
      <xdr:row>54</xdr:row>
      <xdr:rowOff>142875</xdr:rowOff>
    </xdr:to>
    <xdr:pic>
      <xdr:nvPicPr>
        <xdr:cNvPr id="1029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9372600"/>
          <a:ext cx="733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43</xdr:row>
      <xdr:rowOff>82550</xdr:rowOff>
    </xdr:from>
    <xdr:to>
      <xdr:col>3</xdr:col>
      <xdr:colOff>28575</xdr:colOff>
      <xdr:row>46</xdr:row>
      <xdr:rowOff>82550</xdr:rowOff>
    </xdr:to>
    <xdr:pic>
      <xdr:nvPicPr>
        <xdr:cNvPr id="2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388350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393700</xdr:colOff>
      <xdr:row>43</xdr:row>
      <xdr:rowOff>82550</xdr:rowOff>
    </xdr:from>
    <xdr:to>
      <xdr:col>0</xdr:col>
      <xdr:colOff>762000</xdr:colOff>
      <xdr:row>46</xdr:row>
      <xdr:rowOff>82550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388350"/>
          <a:ext cx="3683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ria\AppData\Local\Microsoft\Windows\Temporary%20Internet%20Files\IE\M9W1UN6Q\Demande_Attribution_HLM_communes_EPCI%2031%20dec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com"/>
      <sheetName val="fiche demande HLM commune"/>
      <sheetName val="fiche demande HLM EPCI"/>
      <sheetName val="fiche attribution HLM commune"/>
      <sheetName val="baseAcom"/>
      <sheetName val="fiche attribution HLM EPCI"/>
      <sheetName val="fiche_dem_com_VD"/>
      <sheetName val="fiche_att_com_VD"/>
      <sheetName val="baseDEPCI"/>
      <sheetName val="fiche_dem_EPCI_VD"/>
      <sheetName val="fiche_att_EPCI_VD"/>
      <sheetName val="baseAEPCI"/>
    </sheetNames>
    <sheetDataSet>
      <sheetData sheetId="0" refreshError="1">
        <row r="2">
          <cell r="A2" t="str">
            <v>34001 - Abeilhan</v>
          </cell>
        </row>
        <row r="3">
          <cell r="A3" t="str">
            <v>34002 - Adissan</v>
          </cell>
        </row>
        <row r="4">
          <cell r="A4" t="str">
            <v>34003 - Agde</v>
          </cell>
          <cell r="CD4">
            <v>1</v>
          </cell>
        </row>
        <row r="5">
          <cell r="A5" t="str">
            <v>34004 - Agel</v>
          </cell>
        </row>
        <row r="6">
          <cell r="A6" t="str">
            <v>34005 - Agonès</v>
          </cell>
        </row>
        <row r="7">
          <cell r="A7" t="str">
            <v>34006 - Aigne</v>
          </cell>
        </row>
        <row r="8">
          <cell r="A8" t="str">
            <v>34007 - Aigues-Vives</v>
          </cell>
        </row>
        <row r="9">
          <cell r="A9" t="str">
            <v>34008 - Les Aires</v>
          </cell>
        </row>
        <row r="10">
          <cell r="A10" t="str">
            <v>34009 - Alignan-du-Vent</v>
          </cell>
        </row>
        <row r="11">
          <cell r="A11" t="str">
            <v>34010 - Aniane</v>
          </cell>
        </row>
        <row r="12">
          <cell r="A12" t="str">
            <v>34011 - Arboras</v>
          </cell>
        </row>
        <row r="13">
          <cell r="A13" t="str">
            <v>34012 - Argelliers</v>
          </cell>
        </row>
        <row r="14">
          <cell r="A14" t="str">
            <v>34013 - Aspiran</v>
          </cell>
        </row>
        <row r="15">
          <cell r="A15" t="str">
            <v>34014 - Assas</v>
          </cell>
        </row>
        <row r="16">
          <cell r="A16" t="str">
            <v>34015 - Assignan</v>
          </cell>
        </row>
        <row r="17">
          <cell r="A17" t="str">
            <v>34016 - Aumelas</v>
          </cell>
        </row>
        <row r="18">
          <cell r="A18" t="str">
            <v>34017 - Aumes</v>
          </cell>
        </row>
        <row r="19">
          <cell r="A19" t="str">
            <v>34018 - Autignac</v>
          </cell>
        </row>
        <row r="20">
          <cell r="A20" t="str">
            <v>34019 - Avène</v>
          </cell>
        </row>
        <row r="21">
          <cell r="A21" t="str">
            <v>34020 - Azillanet</v>
          </cell>
        </row>
        <row r="22">
          <cell r="A22" t="str">
            <v>34021 - Babeau-Bouldoux</v>
          </cell>
        </row>
        <row r="23">
          <cell r="A23" t="str">
            <v>34022 - Baillargues</v>
          </cell>
        </row>
        <row r="24">
          <cell r="A24" t="str">
            <v>34023 - Balaruc-les-Bains</v>
          </cell>
          <cell r="CD24">
            <v>3</v>
          </cell>
        </row>
        <row r="25">
          <cell r="A25" t="str">
            <v>34024 - Balaruc-le-Vieux</v>
          </cell>
          <cell r="CD25">
            <v>1</v>
          </cell>
        </row>
        <row r="26">
          <cell r="A26" t="str">
            <v>34025 - Bassan</v>
          </cell>
        </row>
        <row r="27">
          <cell r="A27" t="str">
            <v>34026 - Beaufort</v>
          </cell>
        </row>
        <row r="28">
          <cell r="A28" t="str">
            <v>34027 - Beaulieu</v>
          </cell>
        </row>
        <row r="29">
          <cell r="A29" t="str">
            <v>34028 - Bédarieux</v>
          </cell>
        </row>
        <row r="30">
          <cell r="A30" t="str">
            <v>34029 - Bélarga</v>
          </cell>
        </row>
        <row r="31">
          <cell r="A31" t="str">
            <v>34030 - Berlou</v>
          </cell>
        </row>
        <row r="32">
          <cell r="A32" t="str">
            <v>34031 - Bessan</v>
          </cell>
          <cell r="CD32">
            <v>2</v>
          </cell>
        </row>
        <row r="33">
          <cell r="A33" t="str">
            <v>34032 - Béziers</v>
          </cell>
          <cell r="CD33">
            <v>9</v>
          </cell>
        </row>
        <row r="34">
          <cell r="A34" t="str">
            <v>34033 - Boisseron</v>
          </cell>
        </row>
        <row r="35">
          <cell r="A35" t="str">
            <v>34034 - Boisset</v>
          </cell>
        </row>
        <row r="36">
          <cell r="A36" t="str">
            <v>34035 - La Boissière</v>
          </cell>
        </row>
        <row r="37">
          <cell r="A37" t="str">
            <v>34036 - Le Bosc</v>
          </cell>
        </row>
        <row r="38">
          <cell r="A38" t="str">
            <v>34037 - Boujan-sur-Libron</v>
          </cell>
        </row>
        <row r="39">
          <cell r="A39" t="str">
            <v>34038 - Le Bousquet-d'Orb</v>
          </cell>
        </row>
        <row r="40">
          <cell r="A40" t="str">
            <v>34039 - Bouzigues</v>
          </cell>
        </row>
        <row r="41">
          <cell r="A41" t="str">
            <v>34040 - Brenas</v>
          </cell>
        </row>
        <row r="42">
          <cell r="A42" t="str">
            <v>34041 - Brignac</v>
          </cell>
        </row>
        <row r="43">
          <cell r="A43" t="str">
            <v>34042 - Brissac</v>
          </cell>
        </row>
        <row r="44">
          <cell r="A44" t="str">
            <v>34043 - Buzignargues</v>
          </cell>
        </row>
        <row r="45">
          <cell r="A45" t="str">
            <v>34044 - Cabrerolles</v>
          </cell>
        </row>
        <row r="46">
          <cell r="A46" t="str">
            <v>34045 - Cabrières</v>
          </cell>
        </row>
        <row r="47">
          <cell r="A47" t="str">
            <v>34046 - Cambon-et-Salvergues</v>
          </cell>
        </row>
        <row r="48">
          <cell r="A48" t="str">
            <v>34047 - Campagnan</v>
          </cell>
        </row>
        <row r="49">
          <cell r="A49" t="str">
            <v>34048 - Campagne</v>
          </cell>
        </row>
        <row r="50">
          <cell r="A50" t="str">
            <v>34049 - Camplong</v>
          </cell>
        </row>
        <row r="51">
          <cell r="A51" t="str">
            <v>34050 - Candillargues</v>
          </cell>
        </row>
        <row r="52">
          <cell r="A52" t="str">
            <v>34051 - Canet</v>
          </cell>
        </row>
        <row r="53">
          <cell r="A53" t="str">
            <v>34052 - Capestang</v>
          </cell>
        </row>
        <row r="54">
          <cell r="A54" t="str">
            <v>34053 - Carlencas et Levas</v>
          </cell>
        </row>
        <row r="55">
          <cell r="A55" t="str">
            <v>34054 - Cassagnoles</v>
          </cell>
        </row>
        <row r="56">
          <cell r="A56" t="str">
            <v>34055 - Castanet-le-Haut</v>
          </cell>
        </row>
        <row r="57">
          <cell r="A57" t="str">
            <v>34056 - Castelnau-de-Guers</v>
          </cell>
        </row>
        <row r="58">
          <cell r="A58" t="str">
            <v>34057 - Castelnau-le-Lez</v>
          </cell>
          <cell r="CD58">
            <v>6</v>
          </cell>
        </row>
        <row r="59">
          <cell r="A59" t="str">
            <v>34058 - Castries</v>
          </cell>
        </row>
        <row r="60">
          <cell r="A60" t="str">
            <v>34059 - La Caunette</v>
          </cell>
        </row>
        <row r="61">
          <cell r="A61" t="str">
            <v>34060 - Causse-de-la-Selle</v>
          </cell>
        </row>
        <row r="62">
          <cell r="A62" t="str">
            <v>34061 - Causses-et-Veyran</v>
          </cell>
        </row>
        <row r="63">
          <cell r="A63" t="str">
            <v>34062 - Caussiniojouls</v>
          </cell>
        </row>
        <row r="64">
          <cell r="A64" t="str">
            <v>34063 - Caux</v>
          </cell>
        </row>
        <row r="65">
          <cell r="A65" t="str">
            <v>34064 - Le Caylar</v>
          </cell>
        </row>
        <row r="66">
          <cell r="A66" t="str">
            <v>34065 - Cazedarnes</v>
          </cell>
        </row>
        <row r="67">
          <cell r="A67" t="str">
            <v>34066 - Cazevieille</v>
          </cell>
        </row>
        <row r="68">
          <cell r="A68" t="str">
            <v>34067 - Cazilhac</v>
          </cell>
        </row>
        <row r="69">
          <cell r="A69" t="str">
            <v>34068 - Cazouls-d'Hérault</v>
          </cell>
        </row>
        <row r="70">
          <cell r="A70" t="str">
            <v>34069 - Cazouls-lès-Béziers</v>
          </cell>
        </row>
        <row r="71">
          <cell r="A71" t="str">
            <v>34070 - Cébazan</v>
          </cell>
        </row>
        <row r="72">
          <cell r="A72" t="str">
            <v>34071 - Ceilhes-et-Rocozels</v>
          </cell>
        </row>
        <row r="73">
          <cell r="A73" t="str">
            <v>34072 - Celles</v>
          </cell>
        </row>
        <row r="74">
          <cell r="A74" t="str">
            <v>34073 - Cers</v>
          </cell>
        </row>
        <row r="75">
          <cell r="A75" t="str">
            <v>34074 - Cessenon-sur-Orb</v>
          </cell>
          <cell r="CD75">
            <v>1</v>
          </cell>
        </row>
        <row r="76">
          <cell r="A76" t="str">
            <v>34075 - Cesseras</v>
          </cell>
        </row>
        <row r="77">
          <cell r="A77" t="str">
            <v>34076 - Ceyras</v>
          </cell>
        </row>
        <row r="78">
          <cell r="A78" t="str">
            <v>34077 - Clapiers</v>
          </cell>
        </row>
        <row r="79">
          <cell r="A79" t="str">
            <v>34078 - Claret</v>
          </cell>
        </row>
        <row r="80">
          <cell r="A80" t="str">
            <v>34079 - Clermont-l'Hérault</v>
          </cell>
          <cell r="CD80">
            <v>1</v>
          </cell>
        </row>
        <row r="81">
          <cell r="A81" t="str">
            <v>34080 - Colombières-sur-Orb</v>
          </cell>
        </row>
        <row r="82">
          <cell r="A82" t="str">
            <v>34081 - Colombiers</v>
          </cell>
          <cell r="CD82">
            <v>1</v>
          </cell>
        </row>
        <row r="83">
          <cell r="A83" t="str">
            <v>34082 - Combaillaux</v>
          </cell>
        </row>
        <row r="84">
          <cell r="A84" t="str">
            <v>34083 - Combes</v>
          </cell>
        </row>
        <row r="85">
          <cell r="A85" t="str">
            <v>34084 - Corneilhan</v>
          </cell>
        </row>
        <row r="86">
          <cell r="A86" t="str">
            <v>34085 - Coulobres</v>
          </cell>
        </row>
        <row r="87">
          <cell r="A87" t="str">
            <v>34086 - Courniou</v>
          </cell>
        </row>
        <row r="88">
          <cell r="A88" t="str">
            <v>34087 - Cournonsec</v>
          </cell>
        </row>
        <row r="89">
          <cell r="A89" t="str">
            <v>34088 - Cournonterral</v>
          </cell>
          <cell r="CD89">
            <v>1</v>
          </cell>
        </row>
        <row r="90">
          <cell r="A90" t="str">
            <v>34089 - Creissan</v>
          </cell>
        </row>
        <row r="91">
          <cell r="A91" t="str">
            <v>34090 - Le Crès</v>
          </cell>
          <cell r="CD91">
            <v>2</v>
          </cell>
        </row>
        <row r="92">
          <cell r="A92" t="str">
            <v>34091 - Le Cros</v>
          </cell>
        </row>
        <row r="93">
          <cell r="A93" t="str">
            <v>34092 - Cruzy</v>
          </cell>
        </row>
        <row r="94">
          <cell r="A94" t="str">
            <v>34093 - Dio-et-Valquières</v>
          </cell>
        </row>
        <row r="95">
          <cell r="A95" t="str">
            <v>34094 - Espondeilhan</v>
          </cell>
        </row>
        <row r="96">
          <cell r="A96" t="str">
            <v>34095 - Fabrègues</v>
          </cell>
        </row>
        <row r="97">
          <cell r="A97" t="str">
            <v>34096 - Faugères</v>
          </cell>
        </row>
        <row r="98">
          <cell r="A98" t="str">
            <v>34097 - Félines-Minervois</v>
          </cell>
        </row>
        <row r="99">
          <cell r="A99" t="str">
            <v>34098 - Ferrals-les-Montagnes</v>
          </cell>
        </row>
        <row r="100">
          <cell r="A100" t="str">
            <v>34099 - Ferrières-les-Verreries</v>
          </cell>
        </row>
        <row r="101">
          <cell r="A101" t="str">
            <v>34100 - Ferrières-Poussarou</v>
          </cell>
        </row>
        <row r="102">
          <cell r="A102" t="str">
            <v>34101 - Florensac</v>
          </cell>
          <cell r="CD102">
            <v>1</v>
          </cell>
        </row>
        <row r="103">
          <cell r="A103" t="str">
            <v>34102 - Fontanès</v>
          </cell>
        </row>
        <row r="104">
          <cell r="A104" t="str">
            <v>34103 - Fontès</v>
          </cell>
        </row>
        <row r="105">
          <cell r="A105" t="str">
            <v>34104 - Fos</v>
          </cell>
        </row>
        <row r="106">
          <cell r="A106" t="str">
            <v>34105 - Fouzilhon</v>
          </cell>
        </row>
        <row r="107">
          <cell r="A107" t="str">
            <v>34106 - Fozières</v>
          </cell>
        </row>
        <row r="108">
          <cell r="A108" t="str">
            <v>34107 - Fraisse-sur-Agout</v>
          </cell>
        </row>
        <row r="109">
          <cell r="A109" t="str">
            <v>34108 - Frontignan</v>
          </cell>
          <cell r="CD109">
            <v>2</v>
          </cell>
        </row>
        <row r="110">
          <cell r="A110" t="str">
            <v>34109 - Gabian</v>
          </cell>
        </row>
        <row r="111">
          <cell r="A111" t="str">
            <v>34110 - Galargues</v>
          </cell>
        </row>
        <row r="112">
          <cell r="A112" t="str">
            <v>34111 - Ganges</v>
          </cell>
        </row>
        <row r="113">
          <cell r="A113" t="str">
            <v>34112 - Garrigues</v>
          </cell>
        </row>
        <row r="114">
          <cell r="A114" t="str">
            <v>34113 - Gigean</v>
          </cell>
          <cell r="CD114">
            <v>1</v>
          </cell>
        </row>
        <row r="115">
          <cell r="A115" t="str">
            <v>34114 - Gignac</v>
          </cell>
          <cell r="CD115">
            <v>1</v>
          </cell>
        </row>
        <row r="116">
          <cell r="A116" t="str">
            <v>34115 - Gorniès</v>
          </cell>
        </row>
        <row r="117">
          <cell r="A117" t="str">
            <v>34116 - Grabels</v>
          </cell>
          <cell r="CD117">
            <v>2</v>
          </cell>
        </row>
        <row r="118">
          <cell r="A118" t="str">
            <v>34117 - Graissessac</v>
          </cell>
        </row>
        <row r="119">
          <cell r="A119" t="str">
            <v>34118 - Guzargues</v>
          </cell>
        </row>
        <row r="120">
          <cell r="A120" t="str">
            <v>34119 - Hérépian</v>
          </cell>
        </row>
        <row r="121">
          <cell r="A121" t="str">
            <v>34120 - Jacou</v>
          </cell>
          <cell r="CD121">
            <v>1</v>
          </cell>
        </row>
        <row r="122">
          <cell r="A122" t="str">
            <v>34121 - Joncels</v>
          </cell>
        </row>
        <row r="123">
          <cell r="A123" t="str">
            <v>34122 - Jonquières</v>
          </cell>
        </row>
        <row r="124">
          <cell r="A124" t="str">
            <v>34123 - Juvignac</v>
          </cell>
          <cell r="CD124">
            <v>2</v>
          </cell>
        </row>
        <row r="125">
          <cell r="A125" t="str">
            <v>34124 - Lacoste</v>
          </cell>
        </row>
        <row r="126">
          <cell r="A126" t="str">
            <v>34125 - Lagamas</v>
          </cell>
        </row>
        <row r="127">
          <cell r="A127" t="str">
            <v>34126 - Lamalou-les-Bains</v>
          </cell>
        </row>
        <row r="128">
          <cell r="A128" t="str">
            <v>34127 - Lansargues</v>
          </cell>
        </row>
        <row r="129">
          <cell r="A129" t="str">
            <v>34128 - Laroque</v>
          </cell>
        </row>
        <row r="130">
          <cell r="A130" t="str">
            <v>34129 - Lattes</v>
          </cell>
          <cell r="CD130">
            <v>5</v>
          </cell>
        </row>
        <row r="131">
          <cell r="A131" t="str">
            <v>34130 - Laurens</v>
          </cell>
        </row>
        <row r="132">
          <cell r="A132" t="str">
            <v>34131 - Lauret</v>
          </cell>
        </row>
        <row r="133">
          <cell r="A133" t="str">
            <v>34132 - Lauroux</v>
          </cell>
        </row>
        <row r="134">
          <cell r="A134" t="str">
            <v>34133 - Lavalette</v>
          </cell>
        </row>
        <row r="135">
          <cell r="A135" t="str">
            <v>34134 - Lavérune</v>
          </cell>
        </row>
        <row r="136">
          <cell r="A136" t="str">
            <v>34135 - Lespignan</v>
          </cell>
        </row>
        <row r="137">
          <cell r="A137" t="str">
            <v>34136 - Lézignan-la-Cèbe</v>
          </cell>
          <cell r="CD137">
            <v>1</v>
          </cell>
        </row>
        <row r="138">
          <cell r="A138" t="str">
            <v>34137 - Liausson</v>
          </cell>
        </row>
        <row r="139">
          <cell r="A139" t="str">
            <v>34138 - Lieuran-Cabrières</v>
          </cell>
        </row>
        <row r="140">
          <cell r="A140" t="str">
            <v>34139 - Lieuran-lès-Béziers</v>
          </cell>
        </row>
        <row r="141">
          <cell r="A141" t="str">
            <v>34140 - Lignan-sur-Orb</v>
          </cell>
        </row>
        <row r="142">
          <cell r="A142" t="str">
            <v>34141 - La Livinière</v>
          </cell>
        </row>
        <row r="143">
          <cell r="A143" t="str">
            <v>34142 - Lodève</v>
          </cell>
        </row>
        <row r="144">
          <cell r="A144" t="str">
            <v>34143 - Loupian</v>
          </cell>
        </row>
        <row r="145">
          <cell r="A145" t="str">
            <v>34144 - Lunas</v>
          </cell>
        </row>
        <row r="146">
          <cell r="A146" t="str">
            <v>34145 - Lunel</v>
          </cell>
          <cell r="CD146">
            <v>2</v>
          </cell>
        </row>
        <row r="147">
          <cell r="A147" t="str">
            <v>34146 - Lunel-Viel</v>
          </cell>
        </row>
        <row r="148">
          <cell r="A148" t="str">
            <v>34147 - Magalas</v>
          </cell>
        </row>
        <row r="149">
          <cell r="A149" t="str">
            <v>34148 - Maraussan</v>
          </cell>
        </row>
        <row r="150">
          <cell r="A150" t="str">
            <v>34149 - Margon</v>
          </cell>
          <cell r="CD150">
            <v>1</v>
          </cell>
        </row>
        <row r="151">
          <cell r="A151" t="str">
            <v>34150 - Marseillan</v>
          </cell>
        </row>
        <row r="152">
          <cell r="A152" t="str">
            <v>34151 - Marsillargues</v>
          </cell>
          <cell r="CD152">
            <v>1</v>
          </cell>
        </row>
        <row r="153">
          <cell r="A153" t="str">
            <v>34152 - Mas-de-Londres</v>
          </cell>
        </row>
        <row r="154">
          <cell r="A154" t="str">
            <v>34153 - Les Matelles</v>
          </cell>
        </row>
        <row r="155">
          <cell r="A155" t="str">
            <v>34154 - Mauguio</v>
          </cell>
        </row>
        <row r="156">
          <cell r="A156" t="str">
            <v>34155 - Maureilhan</v>
          </cell>
        </row>
        <row r="157">
          <cell r="A157" t="str">
            <v>34156 - Mérifons</v>
          </cell>
        </row>
        <row r="158">
          <cell r="A158" t="str">
            <v>34157 - Mèze</v>
          </cell>
          <cell r="CD158">
            <v>2</v>
          </cell>
        </row>
        <row r="159">
          <cell r="A159" t="str">
            <v>34158 - Minerve</v>
          </cell>
        </row>
        <row r="160">
          <cell r="A160" t="str">
            <v>34159 - Mireval</v>
          </cell>
        </row>
        <row r="161">
          <cell r="A161" t="str">
            <v>34160 - Mons</v>
          </cell>
        </row>
        <row r="162">
          <cell r="A162" t="str">
            <v>34161 - Montady</v>
          </cell>
        </row>
        <row r="163">
          <cell r="A163" t="str">
            <v>34162 - Montagnac</v>
          </cell>
        </row>
        <row r="164">
          <cell r="A164" t="str">
            <v>34163 - Montarnaud</v>
          </cell>
        </row>
        <row r="165">
          <cell r="A165" t="str">
            <v>34164 - Montaud</v>
          </cell>
        </row>
        <row r="166">
          <cell r="A166" t="str">
            <v>34165 - Montbazin</v>
          </cell>
        </row>
        <row r="167">
          <cell r="A167" t="str">
            <v>34166 - Montblanc</v>
          </cell>
        </row>
        <row r="168">
          <cell r="A168" t="str">
            <v>34167 - Montels</v>
          </cell>
        </row>
        <row r="169">
          <cell r="A169" t="str">
            <v>34168 - Montesquieu</v>
          </cell>
        </row>
        <row r="170">
          <cell r="A170" t="str">
            <v>34169 - Montferrier-sur-Lez</v>
          </cell>
        </row>
        <row r="171">
          <cell r="A171" t="str">
            <v>34170 - Montouliers</v>
          </cell>
        </row>
        <row r="172">
          <cell r="A172" t="str">
            <v>34171 - Montoulieu</v>
          </cell>
        </row>
        <row r="173">
          <cell r="A173" t="str">
            <v>34172 - Montpellier</v>
          </cell>
          <cell r="CD173">
            <v>60</v>
          </cell>
        </row>
        <row r="174">
          <cell r="A174" t="str">
            <v>34173 - Montpeyroux</v>
          </cell>
        </row>
        <row r="175">
          <cell r="A175" t="str">
            <v>34174 - Moulès-et-Baucels</v>
          </cell>
        </row>
        <row r="176">
          <cell r="A176" t="str">
            <v>34175 - Mourèze</v>
          </cell>
        </row>
        <row r="177">
          <cell r="A177" t="str">
            <v>34176 - Mudaison</v>
          </cell>
        </row>
        <row r="178">
          <cell r="A178" t="str">
            <v>34177 - Murles</v>
          </cell>
        </row>
        <row r="179">
          <cell r="A179" t="str">
            <v>34178 - Murviel-lès-Béziers</v>
          </cell>
        </row>
        <row r="180">
          <cell r="A180" t="str">
            <v>34179 - Murviel-lès-Montpellier</v>
          </cell>
        </row>
        <row r="181">
          <cell r="A181" t="str">
            <v>34180 - Nébian</v>
          </cell>
        </row>
        <row r="182">
          <cell r="A182" t="str">
            <v>34181 - Neffiès</v>
          </cell>
        </row>
        <row r="183">
          <cell r="A183" t="str">
            <v>34182 - Nézignan-l'Evêque</v>
          </cell>
          <cell r="CD183">
            <v>1</v>
          </cell>
        </row>
        <row r="184">
          <cell r="A184" t="str">
            <v>34183 - Nissan-lez-Enserune</v>
          </cell>
        </row>
        <row r="185">
          <cell r="A185" t="str">
            <v>34184 - Nizas</v>
          </cell>
        </row>
        <row r="186">
          <cell r="A186" t="str">
            <v>34185 - Notre-Dame-de-Londres</v>
          </cell>
        </row>
        <row r="187">
          <cell r="A187" t="str">
            <v>34186 - Octon</v>
          </cell>
        </row>
        <row r="188">
          <cell r="A188" t="str">
            <v>34187 - Olargues</v>
          </cell>
        </row>
        <row r="189">
          <cell r="A189" t="str">
            <v>34188 - Olmet-et-Villecun</v>
          </cell>
        </row>
        <row r="190">
          <cell r="A190" t="str">
            <v>34189 - Olonzac</v>
          </cell>
        </row>
        <row r="191">
          <cell r="A191" t="str">
            <v>34190 - Oupia</v>
          </cell>
        </row>
        <row r="192">
          <cell r="A192" t="str">
            <v>34191 - Pailhès</v>
          </cell>
        </row>
        <row r="193">
          <cell r="A193" t="str">
            <v>34192 - Palavas-les-Flots</v>
          </cell>
        </row>
        <row r="194">
          <cell r="A194" t="str">
            <v>34193 - Pardailhan</v>
          </cell>
        </row>
        <row r="195">
          <cell r="A195" t="str">
            <v>34194 - Paulhan</v>
          </cell>
        </row>
        <row r="196">
          <cell r="A196" t="str">
            <v>34195 - Pégairolles-de-Buèges</v>
          </cell>
        </row>
        <row r="197">
          <cell r="A197" t="str">
            <v>34196 - Pégairolles-de-l'Escalette</v>
          </cell>
        </row>
        <row r="198">
          <cell r="A198" t="str">
            <v>34197 - Péret</v>
          </cell>
        </row>
        <row r="199">
          <cell r="A199" t="str">
            <v>34198 - Pérols</v>
          </cell>
        </row>
        <row r="200">
          <cell r="A200" t="str">
            <v>34199 - Pézenas</v>
          </cell>
        </row>
        <row r="201">
          <cell r="A201" t="str">
            <v>34200 - Pézènes les Mines</v>
          </cell>
        </row>
        <row r="202">
          <cell r="A202" t="str">
            <v>34201 - Pierrerue</v>
          </cell>
        </row>
        <row r="203">
          <cell r="A203" t="str">
            <v>34202 - Pignan</v>
          </cell>
          <cell r="CD203">
            <v>2</v>
          </cell>
        </row>
        <row r="204">
          <cell r="A204" t="str">
            <v>34203 - Pinet</v>
          </cell>
        </row>
        <row r="205">
          <cell r="A205" t="str">
            <v>34204 - Plaissan</v>
          </cell>
        </row>
        <row r="206">
          <cell r="A206" t="str">
            <v>34205 - Les Plans</v>
          </cell>
        </row>
        <row r="207">
          <cell r="A207" t="str">
            <v>34206 - Poilhes</v>
          </cell>
        </row>
        <row r="208">
          <cell r="A208" t="str">
            <v>34207 - Pomérols</v>
          </cell>
        </row>
        <row r="209">
          <cell r="A209" t="str">
            <v>34208 - Popian</v>
          </cell>
        </row>
        <row r="210">
          <cell r="A210" t="str">
            <v>34209 - Portiragnes</v>
          </cell>
        </row>
        <row r="211">
          <cell r="A211" t="str">
            <v>34210 - Le Pouget</v>
          </cell>
        </row>
        <row r="212">
          <cell r="A212" t="str">
            <v>34211 - Le Poujol sur Orb</v>
          </cell>
        </row>
        <row r="213">
          <cell r="A213" t="str">
            <v>34212 - Poujols</v>
          </cell>
        </row>
        <row r="214">
          <cell r="A214" t="str">
            <v>34213 - Poussan</v>
          </cell>
        </row>
        <row r="215">
          <cell r="A215" t="str">
            <v>34214 - Pouzolles</v>
          </cell>
        </row>
        <row r="216">
          <cell r="A216" t="str">
            <v>34215 - Pouzols</v>
          </cell>
        </row>
        <row r="217">
          <cell r="A217" t="str">
            <v>34216 - Le Pradal</v>
          </cell>
        </row>
        <row r="218">
          <cell r="A218" t="str">
            <v>34217 - Prades-le-Lez</v>
          </cell>
          <cell r="CD218">
            <v>1</v>
          </cell>
        </row>
        <row r="219">
          <cell r="A219" t="str">
            <v>34218 - Prades-sur-Vernazobre</v>
          </cell>
        </row>
        <row r="220">
          <cell r="A220" t="str">
            <v>34219 - Prémian</v>
          </cell>
        </row>
        <row r="221">
          <cell r="A221" t="str">
            <v>34220 - Le Puech</v>
          </cell>
        </row>
        <row r="222">
          <cell r="A222" t="str">
            <v>34221 - Puéchabon</v>
          </cell>
        </row>
        <row r="223">
          <cell r="A223" t="str">
            <v>34222 - Puilacher</v>
          </cell>
        </row>
        <row r="224">
          <cell r="A224" t="str">
            <v>34223 - Puimisson</v>
          </cell>
        </row>
        <row r="225">
          <cell r="A225" t="str">
            <v>34224 - Puissalicon</v>
          </cell>
        </row>
        <row r="226">
          <cell r="A226" t="str">
            <v>34225 - Puisserguier</v>
          </cell>
        </row>
        <row r="227">
          <cell r="A227" t="str">
            <v>34226 - Quarante</v>
          </cell>
        </row>
        <row r="228">
          <cell r="A228" t="str">
            <v>34227 - Restinclières</v>
          </cell>
        </row>
        <row r="229">
          <cell r="A229" t="str">
            <v>34228 - Rieussec</v>
          </cell>
        </row>
        <row r="230">
          <cell r="A230" t="str">
            <v>34229 - Riols</v>
          </cell>
        </row>
        <row r="231">
          <cell r="A231" t="str">
            <v>34230 - Les Rives</v>
          </cell>
        </row>
        <row r="232">
          <cell r="A232" t="str">
            <v>34231 - Romiguières</v>
          </cell>
        </row>
        <row r="233">
          <cell r="A233" t="str">
            <v>34232 - Roquebrun</v>
          </cell>
        </row>
        <row r="234">
          <cell r="A234" t="str">
            <v>34233 - Roqueredonde</v>
          </cell>
        </row>
        <row r="235">
          <cell r="A235" t="str">
            <v>34234 - Roquessels</v>
          </cell>
        </row>
        <row r="236">
          <cell r="A236" t="str">
            <v>34235 - Rosis</v>
          </cell>
        </row>
        <row r="237">
          <cell r="A237" t="str">
            <v>34236 - Rouet</v>
          </cell>
        </row>
        <row r="238">
          <cell r="A238" t="str">
            <v>34237 - Roujan</v>
          </cell>
        </row>
        <row r="239">
          <cell r="A239" t="str">
            <v>34238 - Saint-André-de-Buèges</v>
          </cell>
        </row>
        <row r="240">
          <cell r="A240" t="str">
            <v>34239 - Saint-André-de-Sangonis</v>
          </cell>
        </row>
        <row r="241">
          <cell r="A241" t="str">
            <v>34240 - Saint-Aunès</v>
          </cell>
        </row>
        <row r="242">
          <cell r="A242" t="str">
            <v>34241 - Saint-Bauzille-de-la-Sylve</v>
          </cell>
        </row>
        <row r="243">
          <cell r="A243" t="str">
            <v>34242 - Saint-Bauzille-de-Montmel</v>
          </cell>
        </row>
        <row r="244">
          <cell r="A244" t="str">
            <v>34243 - Saint-Bauzille-de-Putois</v>
          </cell>
        </row>
        <row r="245">
          <cell r="A245" t="str">
            <v>34244 - Saint-Brès</v>
          </cell>
        </row>
        <row r="246">
          <cell r="A246" t="str">
            <v>34245 - Saint-Chinian</v>
          </cell>
        </row>
        <row r="247">
          <cell r="A247" t="str">
            <v>34246 - Saint-Christol</v>
          </cell>
        </row>
        <row r="248">
          <cell r="A248" t="str">
            <v>34247 - Saint-Clément-de-Rivière</v>
          </cell>
        </row>
        <row r="249">
          <cell r="A249" t="str">
            <v>34248 - Sainte-Croix-de-Quintillargues</v>
          </cell>
        </row>
        <row r="250">
          <cell r="A250" t="str">
            <v>34249 - Saint-Drézéry</v>
          </cell>
        </row>
        <row r="251">
          <cell r="A251" t="str">
            <v>34250 - Saint-Etienne-d'Albagnan</v>
          </cell>
        </row>
        <row r="252">
          <cell r="A252" t="str">
            <v>34251 - Saint-Etienne-de-Gourgas</v>
          </cell>
        </row>
        <row r="253">
          <cell r="A253" t="str">
            <v>34252 - Saint-Etienne-Estréchoux</v>
          </cell>
        </row>
        <row r="254">
          <cell r="A254" t="str">
            <v>34253 - Saint-Félix-de-l'Héras</v>
          </cell>
        </row>
        <row r="255">
          <cell r="A255" t="str">
            <v>34254 - Saint-Félix-de-Lodez</v>
          </cell>
        </row>
        <row r="256">
          <cell r="A256" t="str">
            <v>34255 - Saint-Gély-du-Fesc</v>
          </cell>
        </row>
        <row r="257">
          <cell r="A257" t="str">
            <v>34256 - Saint-Geniès-des-Mourgues</v>
          </cell>
        </row>
        <row r="258">
          <cell r="A258" t="str">
            <v>34257 - Saint-Geniès-de-Varensal</v>
          </cell>
        </row>
        <row r="259">
          <cell r="A259" t="str">
            <v>34258 - Saint-Geniès-de-Fontedit</v>
          </cell>
        </row>
        <row r="260">
          <cell r="A260" t="str">
            <v>34259 - Saint-Georges-d'Orques</v>
          </cell>
        </row>
        <row r="261">
          <cell r="A261" t="str">
            <v>34260 - Saint-Gervais-sur-Mare</v>
          </cell>
        </row>
        <row r="262">
          <cell r="A262" t="str">
            <v>34261 - Saint-Guilhem-le-Désert</v>
          </cell>
        </row>
        <row r="263">
          <cell r="A263" t="str">
            <v>34262 - Saint-Guiraud</v>
          </cell>
        </row>
        <row r="264">
          <cell r="A264" t="str">
            <v>34263 - Saint-Hilaire-de-Beauvoir</v>
          </cell>
        </row>
        <row r="265">
          <cell r="A265" t="str">
            <v>34264 - Saint-Jean-de-Buèges</v>
          </cell>
        </row>
        <row r="266">
          <cell r="A266" t="str">
            <v>34265 - Saint-Jean-de-Cornies</v>
          </cell>
        </row>
        <row r="267">
          <cell r="A267" t="str">
            <v>34266 - Saint-Jean-de-Cuculles</v>
          </cell>
        </row>
        <row r="268">
          <cell r="A268" t="str">
            <v>34267 - Saint-Jean-de-Fos</v>
          </cell>
        </row>
        <row r="269">
          <cell r="A269" t="str">
            <v>34268 - Saint-Jean-de-la-Blaquière</v>
          </cell>
        </row>
        <row r="270">
          <cell r="A270" t="str">
            <v>34269 - Saint-Jean-de-Minervois</v>
          </cell>
        </row>
        <row r="271">
          <cell r="A271" t="str">
            <v>34270 - Saint-Jean-de-Védas</v>
          </cell>
          <cell r="CD271">
            <v>3</v>
          </cell>
        </row>
        <row r="272">
          <cell r="A272" t="str">
            <v>34271 - Saint-Julien</v>
          </cell>
        </row>
        <row r="273">
          <cell r="A273" t="str">
            <v>34272 - Saint-Just</v>
          </cell>
        </row>
        <row r="274">
          <cell r="A274" t="str">
            <v>34273 - Saint-Martin-de-l'Arçon</v>
          </cell>
        </row>
        <row r="275">
          <cell r="A275" t="str">
            <v>34274 - Saint-Martin-de-Londres</v>
          </cell>
        </row>
        <row r="276">
          <cell r="A276" t="str">
            <v>34276 - Saint-Mathieu-de-Tréviers</v>
          </cell>
        </row>
        <row r="277">
          <cell r="A277" t="str">
            <v>34277 - Saint-Maurice-Navacelles</v>
          </cell>
        </row>
        <row r="278">
          <cell r="A278" t="str">
            <v>34278 - Saint-Michel</v>
          </cell>
        </row>
        <row r="279">
          <cell r="A279" t="str">
            <v>34279 - Saint-Nazaire-de-Ladarez</v>
          </cell>
        </row>
        <row r="280">
          <cell r="A280" t="str">
            <v>34280 - Saint-Nazaire-de-Pézan</v>
          </cell>
        </row>
        <row r="281">
          <cell r="A281" t="str">
            <v>34281 - Saint-Pargoire</v>
          </cell>
        </row>
        <row r="282">
          <cell r="A282" t="str">
            <v>34282 - Saint-Paul-et-Valmalle</v>
          </cell>
        </row>
        <row r="283">
          <cell r="A283" t="str">
            <v>34283 - Saint-Pierre-de-la-Fage</v>
          </cell>
        </row>
        <row r="284">
          <cell r="A284" t="str">
            <v>34284 - Saint-Pons-de-Thomières</v>
          </cell>
        </row>
        <row r="285">
          <cell r="A285" t="str">
            <v>34285 - Saint-Pons-de-Mauchiens</v>
          </cell>
        </row>
        <row r="286">
          <cell r="A286" t="str">
            <v>34286 - Saint-Privat</v>
          </cell>
        </row>
        <row r="287">
          <cell r="A287" t="str">
            <v>34287 - Saint-Saturnin-de-Lucian</v>
          </cell>
        </row>
        <row r="288">
          <cell r="A288" t="str">
            <v>34288 - Saint-Sériès</v>
          </cell>
        </row>
        <row r="289">
          <cell r="A289" t="str">
            <v>34289 - Saint-Thibéry</v>
          </cell>
        </row>
        <row r="290">
          <cell r="A290" t="str">
            <v>34290 - Saint-Vincent-de-Barbeyrargues</v>
          </cell>
        </row>
        <row r="291">
          <cell r="A291" t="str">
            <v>34291 - Saint-Vincent-d'Olargues</v>
          </cell>
        </row>
        <row r="292">
          <cell r="A292" t="str">
            <v>34292 - Salasc</v>
          </cell>
        </row>
        <row r="293">
          <cell r="A293" t="str">
            <v>34293 - La Salvetat-sur-Agout</v>
          </cell>
        </row>
        <row r="294">
          <cell r="A294" t="str">
            <v>34294 - Saturargues</v>
          </cell>
        </row>
        <row r="295">
          <cell r="A295" t="str">
            <v>34295 - Saussan</v>
          </cell>
        </row>
        <row r="296">
          <cell r="A296" t="str">
            <v>34296 - Saussines</v>
          </cell>
        </row>
        <row r="297">
          <cell r="A297" t="str">
            <v>34297 - Sauteyrargues</v>
          </cell>
        </row>
        <row r="298">
          <cell r="A298" t="str">
            <v>34298 - Sauvian</v>
          </cell>
        </row>
        <row r="299">
          <cell r="A299" t="str">
            <v>34299 - Sérignan</v>
          </cell>
        </row>
        <row r="300">
          <cell r="A300" t="str">
            <v>34300 - Servian</v>
          </cell>
        </row>
        <row r="301">
          <cell r="A301" t="str">
            <v>34301 - Sète</v>
          </cell>
          <cell r="CD301">
            <v>2</v>
          </cell>
        </row>
        <row r="302">
          <cell r="A302" t="str">
            <v>34302 - Siran</v>
          </cell>
        </row>
        <row r="303">
          <cell r="A303" t="str">
            <v>34303 - Sorbs</v>
          </cell>
        </row>
        <row r="304">
          <cell r="A304" t="str">
            <v>34304 - Soubès</v>
          </cell>
        </row>
        <row r="305">
          <cell r="A305" t="str">
            <v>34305 - Le Soulié</v>
          </cell>
        </row>
        <row r="306">
          <cell r="A306" t="str">
            <v>34306 - Soumont</v>
          </cell>
        </row>
        <row r="307">
          <cell r="A307" t="str">
            <v>34307 - Sussargues</v>
          </cell>
        </row>
        <row r="308">
          <cell r="A308" t="str">
            <v>34308 - Taussac-la-Billière</v>
          </cell>
        </row>
        <row r="309">
          <cell r="A309" t="str">
            <v>34309 - Teyran</v>
          </cell>
          <cell r="CD309">
            <v>2</v>
          </cell>
        </row>
        <row r="310">
          <cell r="A310" t="str">
            <v>34310 - Thézan-lès-Béziers</v>
          </cell>
        </row>
        <row r="311">
          <cell r="A311" t="str">
            <v>34311 - Tourbes</v>
          </cell>
        </row>
        <row r="312">
          <cell r="A312" t="str">
            <v>34312 - La Tour-sur-Orb</v>
          </cell>
          <cell r="CD312">
            <v>1</v>
          </cell>
        </row>
        <row r="313">
          <cell r="A313" t="str">
            <v>34313 - Tressan</v>
          </cell>
        </row>
        <row r="314">
          <cell r="A314" t="str">
            <v>34314 - Le Triadou</v>
          </cell>
        </row>
        <row r="315">
          <cell r="A315" t="str">
            <v>34315 - Usclas-d'Hérault</v>
          </cell>
        </row>
        <row r="316">
          <cell r="A316" t="str">
            <v>34316 - Usclas-du-Bosc</v>
          </cell>
        </row>
        <row r="317">
          <cell r="A317" t="str">
            <v>34317 - La Vacquerie-et-Saint-Martin-de-Castries</v>
          </cell>
        </row>
        <row r="318">
          <cell r="A318" t="str">
            <v>34318 - Vacquières</v>
          </cell>
        </row>
        <row r="319">
          <cell r="A319" t="str">
            <v>34319 - Vailhan</v>
          </cell>
        </row>
        <row r="320">
          <cell r="A320" t="str">
            <v>34320 - Vailhauquès</v>
          </cell>
        </row>
        <row r="321">
          <cell r="A321" t="str">
            <v>34321 - Valergues</v>
          </cell>
          <cell r="CD321">
            <v>1</v>
          </cell>
        </row>
        <row r="322">
          <cell r="A322" t="str">
            <v>34322 - Valflaunès</v>
          </cell>
        </row>
        <row r="323">
          <cell r="A323" t="str">
            <v>34323 - Valmascle</v>
          </cell>
        </row>
        <row r="324">
          <cell r="A324" t="str">
            <v>34324 - Valras-Plage</v>
          </cell>
        </row>
        <row r="325">
          <cell r="A325" t="str">
            <v>34325 - Valros</v>
          </cell>
        </row>
        <row r="326">
          <cell r="A326" t="str">
            <v>34326 - Vélieux</v>
          </cell>
        </row>
        <row r="327">
          <cell r="A327" t="str">
            <v>34327 - Vendargues</v>
          </cell>
        </row>
        <row r="328">
          <cell r="A328" t="str">
            <v>34328 - Vendémian</v>
          </cell>
        </row>
        <row r="329">
          <cell r="A329" t="str">
            <v>34329 - Vendres</v>
          </cell>
        </row>
        <row r="330">
          <cell r="A330" t="str">
            <v>34330 - Vérargues</v>
          </cell>
        </row>
        <row r="331">
          <cell r="A331" t="str">
            <v>34331 - Verreries-de-Moussans</v>
          </cell>
        </row>
        <row r="332">
          <cell r="A332" t="str">
            <v>34332 - Vias</v>
          </cell>
        </row>
        <row r="333">
          <cell r="A333" t="str">
            <v>34333 - Vic-la-Gardiole</v>
          </cell>
        </row>
        <row r="334">
          <cell r="A334" t="str">
            <v>34334 - Vieussan</v>
          </cell>
        </row>
        <row r="335">
          <cell r="A335" t="str">
            <v>34335 - Villemagne-l'Argentière</v>
          </cell>
        </row>
        <row r="336">
          <cell r="A336" t="str">
            <v>34336 - Villeneuve-lès-Béziers</v>
          </cell>
        </row>
        <row r="337">
          <cell r="A337" t="str">
            <v>34337 - Villeneuve-lès-Maguelone</v>
          </cell>
          <cell r="CD337">
            <v>1</v>
          </cell>
        </row>
        <row r="338">
          <cell r="A338" t="str">
            <v>34338 - Villeneuvette</v>
          </cell>
        </row>
        <row r="339">
          <cell r="A339" t="str">
            <v>34339 - Villespassans</v>
          </cell>
        </row>
        <row r="340">
          <cell r="A340" t="str">
            <v>34340 - Villetelle</v>
          </cell>
        </row>
        <row r="341">
          <cell r="A341" t="str">
            <v>34341 - Villeveyrac</v>
          </cell>
        </row>
        <row r="342">
          <cell r="A342" t="str">
            <v>34342 - Viols-en-Laval</v>
          </cell>
        </row>
        <row r="343">
          <cell r="A343" t="str">
            <v>34343 - Viols-le-Fort</v>
          </cell>
        </row>
        <row r="344">
          <cell r="A344" t="str">
            <v>34344 - La Grande-Motte</v>
          </cell>
          <cell r="CD34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A13" workbookViewId="0">
      <selection activeCell="N19" sqref="N19"/>
    </sheetView>
  </sheetViews>
  <sheetFormatPr baseColWidth="10" defaultRowHeight="12.75" x14ac:dyDescent="0.2"/>
  <cols>
    <col min="1" max="1" width="20.85546875" style="111" customWidth="1"/>
    <col min="2" max="3" width="7.140625" style="111" customWidth="1"/>
    <col min="4" max="4" width="8.5703125" style="111" customWidth="1"/>
    <col min="5" max="5" width="14.28515625" style="111" customWidth="1"/>
    <col min="6" max="6" width="7.5703125" style="111" customWidth="1"/>
    <col min="7" max="7" width="7.140625" style="111" customWidth="1"/>
    <col min="8" max="8" width="6.42578125" style="111" customWidth="1"/>
    <col min="9" max="9" width="15.28515625" style="111" customWidth="1"/>
    <col min="10" max="10" width="6.42578125" style="111" customWidth="1"/>
    <col min="11" max="11" width="7.28515625" style="111" customWidth="1"/>
    <col min="12" max="12" width="6.85546875" style="111" customWidth="1"/>
    <col min="13" max="13" width="20.42578125" style="111" customWidth="1"/>
    <col min="14" max="15" width="10.5703125" style="111" customWidth="1"/>
    <col min="16" max="16" width="7.42578125" style="111" customWidth="1"/>
    <col min="17" max="17" width="11.5703125" style="111" customWidth="1"/>
    <col min="18" max="19" width="7.7109375" style="111" customWidth="1"/>
    <col min="20" max="21" width="10.5703125" style="111" customWidth="1"/>
    <col min="22" max="16384" width="11.42578125" style="111"/>
  </cols>
  <sheetData>
    <row r="1" spans="1:21" ht="15" x14ac:dyDescent="0.25">
      <c r="A1" s="110" t="s">
        <v>182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114" customFormat="1" ht="21" x14ac:dyDescent="0.35">
      <c r="A2" s="112" t="str">
        <f>A1</f>
        <v>CC Vallée de l'Hérault</v>
      </c>
      <c r="B2" s="112">
        <f t="shared" ref="B2:K2" si="0">LOOKUP($A$1,N5libcomDem,Dmotif_Assistante_maternelle)</f>
        <v>1</v>
      </c>
      <c r="C2" s="112">
        <f t="shared" si="0"/>
        <v>1</v>
      </c>
      <c r="D2" s="112">
        <f t="shared" si="0"/>
        <v>1</v>
      </c>
      <c r="E2" s="112">
        <f t="shared" si="0"/>
        <v>1</v>
      </c>
      <c r="F2" s="112">
        <f t="shared" si="0"/>
        <v>1</v>
      </c>
      <c r="G2" s="112">
        <f t="shared" si="0"/>
        <v>1</v>
      </c>
      <c r="H2" s="112">
        <f t="shared" si="0"/>
        <v>1</v>
      </c>
      <c r="I2" s="112">
        <f t="shared" si="0"/>
        <v>1</v>
      </c>
      <c r="J2" s="112">
        <f t="shared" si="0"/>
        <v>1</v>
      </c>
      <c r="K2" s="112">
        <f t="shared" si="0"/>
        <v>1</v>
      </c>
      <c r="L2" s="113"/>
      <c r="M2" s="112" t="str">
        <f>A2</f>
        <v>CC Vallée de l'Hérault</v>
      </c>
      <c r="N2" s="112"/>
      <c r="O2" s="112"/>
      <c r="P2" s="112"/>
      <c r="Q2" s="112"/>
      <c r="R2" s="112"/>
      <c r="S2" s="112"/>
      <c r="T2" s="112"/>
      <c r="U2" s="112"/>
    </row>
    <row r="3" spans="1:21" s="114" customFormat="1" ht="18.75" x14ac:dyDescent="0.3">
      <c r="A3" s="115" t="s">
        <v>185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6"/>
      <c r="M3" s="115" t="str">
        <f>A3</f>
        <v>Demande HLM adressée au territoire au 31 décembre 2020</v>
      </c>
      <c r="N3" s="115"/>
      <c r="O3" s="115"/>
      <c r="P3" s="115"/>
      <c r="Q3" s="115"/>
      <c r="R3" s="115"/>
      <c r="S3" s="115"/>
      <c r="T3" s="115"/>
      <c r="U3" s="115"/>
    </row>
    <row r="4" spans="1:21" s="114" customFormat="1" ht="18.75" x14ac:dyDescent="0.3">
      <c r="A4" s="115" t="s">
        <v>186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6"/>
      <c r="M4" s="115" t="s">
        <v>187</v>
      </c>
      <c r="N4" s="115"/>
      <c r="O4" s="115"/>
      <c r="P4" s="115"/>
      <c r="Q4" s="115"/>
      <c r="R4" s="115"/>
      <c r="S4" s="115"/>
      <c r="T4" s="115"/>
      <c r="U4" s="115"/>
    </row>
    <row r="5" spans="1:21" s="114" customFormat="1" ht="18.75" x14ac:dyDescent="0.3">
      <c r="A5" s="117" t="s">
        <v>188</v>
      </c>
      <c r="B5" s="118"/>
      <c r="C5" s="119"/>
      <c r="D5" s="116"/>
      <c r="E5" s="117" t="s">
        <v>189</v>
      </c>
      <c r="F5" s="118"/>
      <c r="G5" s="119"/>
      <c r="H5" s="116"/>
      <c r="I5" s="117" t="s">
        <v>190</v>
      </c>
      <c r="J5" s="118"/>
      <c r="K5" s="119"/>
      <c r="L5" s="116"/>
      <c r="M5" s="117" t="s">
        <v>191</v>
      </c>
      <c r="N5" s="118"/>
      <c r="O5" s="118"/>
      <c r="P5" s="118"/>
      <c r="Q5" s="118"/>
      <c r="R5" s="118"/>
      <c r="S5" s="118"/>
      <c r="T5" s="118"/>
      <c r="U5" s="119"/>
    </row>
    <row r="6" spans="1:21" s="114" customFormat="1" x14ac:dyDescent="0.2">
      <c r="A6" s="120"/>
      <c r="B6" s="121"/>
      <c r="C6" s="122"/>
      <c r="D6" s="116"/>
      <c r="E6" s="120"/>
      <c r="F6" s="121"/>
      <c r="G6" s="122"/>
      <c r="H6" s="116"/>
      <c r="I6" s="120"/>
      <c r="J6" s="121"/>
      <c r="K6" s="122"/>
      <c r="L6" s="116"/>
      <c r="M6" s="123"/>
      <c r="N6" s="124"/>
      <c r="O6" s="124"/>
      <c r="P6" s="124"/>
      <c r="Q6" s="124"/>
      <c r="R6" s="124"/>
      <c r="S6" s="124"/>
      <c r="T6" s="124"/>
      <c r="U6" s="125"/>
    </row>
    <row r="7" spans="1:21" s="114" customFormat="1" x14ac:dyDescent="0.2">
      <c r="A7" s="126" t="s">
        <v>115</v>
      </c>
      <c r="B7" s="127">
        <f>VLOOKUP($A$1,Motif_demande!$B:$AF,3,0)</f>
        <v>2</v>
      </c>
      <c r="C7" s="128">
        <f t="shared" ref="C7:C33" si="1">B7/$B$35</f>
        <v>3.8095238095238095E-3</v>
      </c>
      <c r="D7" s="116"/>
      <c r="E7" s="126" t="s">
        <v>71</v>
      </c>
      <c r="F7" s="129">
        <f>VLOOKUP($A$1,Situ_familiale!$B:$AF,3,0)</f>
        <v>243</v>
      </c>
      <c r="G7" s="128">
        <f>F7/$F$16</f>
        <v>0.46285714285714286</v>
      </c>
      <c r="H7" s="116"/>
      <c r="I7" s="126" t="s">
        <v>58</v>
      </c>
      <c r="J7" s="129">
        <f>VLOOKUP($A$1,Statut_prof!$B:$AF,5,0)</f>
        <v>1</v>
      </c>
      <c r="K7" s="128">
        <f>J7/$J$17</f>
        <v>1.9083969465648854E-3</v>
      </c>
      <c r="M7" s="126"/>
      <c r="N7" s="130" t="s">
        <v>192</v>
      </c>
      <c r="O7" s="130"/>
      <c r="P7" s="130"/>
      <c r="Q7" s="130"/>
      <c r="R7" s="130"/>
      <c r="S7" s="130"/>
      <c r="T7" s="130"/>
      <c r="U7" s="131"/>
    </row>
    <row r="8" spans="1:21" s="114" customFormat="1" x14ac:dyDescent="0.2">
      <c r="A8" s="126" t="s">
        <v>117</v>
      </c>
      <c r="B8" s="127">
        <f>VLOOKUP($A$1,Motif_demande!$B:$AF,5,0)</f>
        <v>9</v>
      </c>
      <c r="C8" s="128">
        <f t="shared" si="1"/>
        <v>1.7142857142857144E-2</v>
      </c>
      <c r="D8" s="116"/>
      <c r="E8" s="126" t="s">
        <v>72</v>
      </c>
      <c r="F8" s="129">
        <f>VLOOKUP($A$1,Situ_familiale!$B:$AF,4,0)</f>
        <v>52</v>
      </c>
      <c r="G8" s="128">
        <f t="shared" ref="G8:G14" si="2">F8/$F$16</f>
        <v>9.9047619047619051E-2</v>
      </c>
      <c r="H8" s="116"/>
      <c r="I8" s="126" t="s">
        <v>193</v>
      </c>
      <c r="J8" s="129">
        <f>VLOOKUP($A$1,Statut_prof!$B:$AF,6,0)</f>
        <v>14</v>
      </c>
      <c r="K8" s="128">
        <f t="shared" ref="K8:K15" si="3">J8/$J$17</f>
        <v>2.6717557251908396E-2</v>
      </c>
      <c r="M8" s="126"/>
      <c r="N8" s="132" t="s">
        <v>194</v>
      </c>
      <c r="O8" s="132">
        <v>1</v>
      </c>
      <c r="P8" s="132">
        <v>2</v>
      </c>
      <c r="Q8" s="132">
        <v>3</v>
      </c>
      <c r="R8" s="132">
        <v>4</v>
      </c>
      <c r="S8" s="132">
        <v>5</v>
      </c>
      <c r="T8" s="132" t="s">
        <v>195</v>
      </c>
      <c r="U8" s="133" t="s">
        <v>196</v>
      </c>
    </row>
    <row r="9" spans="1:21" s="114" customFormat="1" x14ac:dyDescent="0.2">
      <c r="A9" s="126" t="s">
        <v>118</v>
      </c>
      <c r="B9" s="127">
        <f>VLOOKUP($A$1,Motif_demande!$B:$AF,6,0)</f>
        <v>0</v>
      </c>
      <c r="C9" s="128">
        <f t="shared" si="1"/>
        <v>0</v>
      </c>
      <c r="D9" s="116"/>
      <c r="E9" s="126" t="s">
        <v>73</v>
      </c>
      <c r="F9" s="129">
        <f>VLOOKUP($A$1,Situ_familiale!$B:$AF,5,0)</f>
        <v>50</v>
      </c>
      <c r="G9" s="128">
        <f t="shared" si="2"/>
        <v>9.5238095238095233E-2</v>
      </c>
      <c r="H9" s="116"/>
      <c r="I9" s="126" t="s">
        <v>61</v>
      </c>
      <c r="J9" s="129">
        <f>VLOOKUP($A$1,Statut_prof!$B:$AF,8,0)+VLOOKUP($A$1,Statut_prof!$B:$AF,9,0)</f>
        <v>130</v>
      </c>
      <c r="K9" s="128">
        <f t="shared" si="3"/>
        <v>0.24809160305343511</v>
      </c>
      <c r="M9" s="126" t="s">
        <v>197</v>
      </c>
      <c r="N9" s="129">
        <f>VLOOKUP($A$1,Compo_famille!$B:$AF,3,0)</f>
        <v>52</v>
      </c>
      <c r="O9" s="129">
        <f>VLOOKUP($A$1,Compo_famille!$B:$AF,4,0)</f>
        <v>26</v>
      </c>
      <c r="P9" s="129">
        <f>VLOOKUP($A$1,Compo_famille!$B:$AF,5,0)</f>
        <v>38</v>
      </c>
      <c r="Q9" s="129">
        <f>VLOOKUP($A$1,Compo_famille!$B:$AF,6,0)</f>
        <v>26</v>
      </c>
      <c r="R9" s="129">
        <f>VLOOKUP($A$1,Compo_famille!$B:$AF,7,0)</f>
        <v>8</v>
      </c>
      <c r="S9" s="129">
        <f>VLOOKUP($A$1,Compo_famille!$B:$AF,8,0)</f>
        <v>5</v>
      </c>
      <c r="T9" s="129">
        <f>VLOOKUP($A$1,Compo_famille!$B:$AF,9,0)</f>
        <v>5</v>
      </c>
      <c r="U9" s="134">
        <f>SUM(N9:T9)</f>
        <v>160</v>
      </c>
    </row>
    <row r="10" spans="1:21" s="114" customFormat="1" x14ac:dyDescent="0.2">
      <c r="A10" s="126" t="s">
        <v>119</v>
      </c>
      <c r="B10" s="127">
        <f>VLOOKUP($A$1,Motif_demande!$B:$AF,7,0)</f>
        <v>38</v>
      </c>
      <c r="C10" s="128">
        <f t="shared" si="1"/>
        <v>7.2380952380952379E-2</v>
      </c>
      <c r="D10" s="116"/>
      <c r="E10" s="126" t="s">
        <v>74</v>
      </c>
      <c r="F10" s="129">
        <f>VLOOKUP($A$1,Situ_familiale!$B:$AF,7,0)</f>
        <v>93</v>
      </c>
      <c r="G10" s="128">
        <f t="shared" si="2"/>
        <v>0.17714285714285713</v>
      </c>
      <c r="H10" s="116"/>
      <c r="I10" s="126" t="s">
        <v>198</v>
      </c>
      <c r="J10" s="129">
        <f>VLOOKUP($A$1,Statut_prof!$B:$AF,10,0)</f>
        <v>35</v>
      </c>
      <c r="K10" s="128">
        <f t="shared" si="3"/>
        <v>6.6793893129770993E-2</v>
      </c>
      <c r="M10" s="126" t="s">
        <v>199</v>
      </c>
      <c r="N10" s="129">
        <f>VLOOKUP($A$1,Compo_famille!$B:$AF,10,0)</f>
        <v>199</v>
      </c>
      <c r="O10" s="129">
        <f>VLOOKUP($A$1,Compo_famille!$B:$AF,11,0)</f>
        <v>79</v>
      </c>
      <c r="P10" s="129">
        <f>VLOOKUP($A$1,Compo_famille!$B:$AF,12,0)</f>
        <v>62</v>
      </c>
      <c r="Q10" s="129">
        <f>VLOOKUP($A$1,Compo_famille!$B:$AF,13,0)</f>
        <v>18</v>
      </c>
      <c r="R10" s="129">
        <f>VLOOKUP($A$1,Compo_famille!$B:$AF,14,0)</f>
        <v>6</v>
      </c>
      <c r="S10" s="129">
        <f>VLOOKUP($A$1,Compo_famille!$B:$AF,15,0)</f>
        <v>0</v>
      </c>
      <c r="T10" s="129">
        <f>VLOOKUP($A$1,Compo_famille!$B:$AF,16,0)</f>
        <v>1</v>
      </c>
      <c r="U10" s="134">
        <f>SUM(N10:T10)</f>
        <v>365</v>
      </c>
    </row>
    <row r="11" spans="1:21" s="114" customFormat="1" x14ac:dyDescent="0.2">
      <c r="A11" s="126" t="s">
        <v>121</v>
      </c>
      <c r="B11" s="127">
        <f>VLOOKUP($A$1,Motif_demande!$B:$AF,9,0)</f>
        <v>2</v>
      </c>
      <c r="C11" s="128">
        <f t="shared" si="1"/>
        <v>3.8095238095238095E-3</v>
      </c>
      <c r="D11" s="116"/>
      <c r="E11" s="126" t="s">
        <v>75</v>
      </c>
      <c r="F11" s="129">
        <f>VLOOKUP($A$1,Situ_familiale!$B:$AF,9,0)</f>
        <v>4</v>
      </c>
      <c r="G11" s="128">
        <f t="shared" si="2"/>
        <v>7.619047619047619E-3</v>
      </c>
      <c r="H11" s="116"/>
      <c r="I11" s="126" t="s">
        <v>200</v>
      </c>
      <c r="J11" s="129">
        <f>VLOOKUP($A$1,Statut_prof!$B:$AF,3,0)+VLOOKUP($A$1,Statut_prof!$B:$AF,4,0)+VLOOKUP($A$1,Statut_prof!$B:$AF,11,0)+VLOOKUP($A$1,Statut_prof!$B:$AF,19,0)</f>
        <v>182</v>
      </c>
      <c r="K11" s="128">
        <f t="shared" si="3"/>
        <v>0.34732824427480918</v>
      </c>
      <c r="M11" s="126" t="s">
        <v>201</v>
      </c>
      <c r="N11" s="135"/>
      <c r="O11" s="135"/>
      <c r="P11" s="135"/>
      <c r="Q11" s="135"/>
      <c r="R11" s="135"/>
      <c r="S11" s="135"/>
      <c r="T11" s="135"/>
      <c r="U11" s="136">
        <v>0</v>
      </c>
    </row>
    <row r="12" spans="1:21" s="114" customFormat="1" x14ac:dyDescent="0.2">
      <c r="A12" s="126" t="s">
        <v>202</v>
      </c>
      <c r="B12" s="127">
        <f>VLOOKUP($A$1,Motif_demande!$B:$AF,10,0)</f>
        <v>49</v>
      </c>
      <c r="C12" s="128">
        <f t="shared" si="1"/>
        <v>9.3333333333333338E-2</v>
      </c>
      <c r="D12" s="116"/>
      <c r="E12" s="126" t="s">
        <v>76</v>
      </c>
      <c r="F12" s="129">
        <f>VLOOKUP($A$1,Situ_familiale!$B:$AF,11,0)</f>
        <v>70</v>
      </c>
      <c r="G12" s="128">
        <f t="shared" si="2"/>
        <v>0.13333333333333333</v>
      </c>
      <c r="H12" s="116"/>
      <c r="I12" s="126" t="s">
        <v>66</v>
      </c>
      <c r="J12" s="129">
        <f>VLOOKUP($A$1,Statut_prof!$B:$AF,13,0)</f>
        <v>113</v>
      </c>
      <c r="K12" s="128">
        <f t="shared" si="3"/>
        <v>0.21564885496183206</v>
      </c>
      <c r="M12" s="126"/>
      <c r="N12" s="135"/>
      <c r="O12" s="135"/>
      <c r="P12" s="135"/>
      <c r="Q12" s="135"/>
      <c r="R12" s="135"/>
      <c r="S12" s="135"/>
      <c r="T12" s="135"/>
      <c r="U12" s="137"/>
    </row>
    <row r="13" spans="1:21" s="114" customFormat="1" x14ac:dyDescent="0.2">
      <c r="A13" s="126" t="s">
        <v>127</v>
      </c>
      <c r="B13" s="127">
        <f>VLOOKUP($A$1,Motif_demande!$B:$AF,16,0)</f>
        <v>21</v>
      </c>
      <c r="C13" s="128">
        <f t="shared" si="1"/>
        <v>0.04</v>
      </c>
      <c r="D13" s="116"/>
      <c r="E13" s="126" t="s">
        <v>77</v>
      </c>
      <c r="F13" s="129">
        <f>VLOOKUP($A$1,Situ_familiale!$B:$AF,12,0)</f>
        <v>13</v>
      </c>
      <c r="G13" s="128">
        <f t="shared" si="2"/>
        <v>2.4761904761904763E-2</v>
      </c>
      <c r="H13" s="116"/>
      <c r="I13" s="126" t="s">
        <v>67</v>
      </c>
      <c r="J13" s="129">
        <f>VLOOKUP($A$1,Statut_prof!$B:$AF,15,0)+VLOOKUP($A$1,Statut_prof!$B:$AF,14,0)</f>
        <v>6</v>
      </c>
      <c r="K13" s="128">
        <f t="shared" si="3"/>
        <v>1.1450381679389313E-2</v>
      </c>
      <c r="M13" s="126" t="s">
        <v>196</v>
      </c>
      <c r="N13" s="138">
        <f>N9+N10</f>
        <v>251</v>
      </c>
      <c r="O13" s="138">
        <f t="shared" ref="O13:T13" si="4">O9+O10</f>
        <v>105</v>
      </c>
      <c r="P13" s="138">
        <f t="shared" si="4"/>
        <v>100</v>
      </c>
      <c r="Q13" s="138">
        <f t="shared" si="4"/>
        <v>44</v>
      </c>
      <c r="R13" s="138">
        <f t="shared" si="4"/>
        <v>14</v>
      </c>
      <c r="S13" s="138">
        <f t="shared" si="4"/>
        <v>5</v>
      </c>
      <c r="T13" s="138">
        <f t="shared" si="4"/>
        <v>6</v>
      </c>
      <c r="U13" s="139">
        <f>SUM(U9:U11)</f>
        <v>525</v>
      </c>
    </row>
    <row r="14" spans="1:21" s="114" customFormat="1" x14ac:dyDescent="0.2">
      <c r="A14" s="126" t="s">
        <v>126</v>
      </c>
      <c r="B14" s="127">
        <f>VLOOKUP($A$1,Motif_demande!$B:$AF,15,0)</f>
        <v>17</v>
      </c>
      <c r="C14" s="128">
        <f t="shared" si="1"/>
        <v>3.2380952380952378E-2</v>
      </c>
      <c r="D14" s="116"/>
      <c r="E14" s="126" t="s">
        <v>201</v>
      </c>
      <c r="F14" s="129">
        <f>VLOOKUP($A$1,Situ_familiale!$B:$AF,6,0)+VLOOKUP($A$1,Situ_familiale!$B:$AF,8,0)+VLOOKUP($A$1,Situ_familiale!$B:$AF,10,0)</f>
        <v>0</v>
      </c>
      <c r="G14" s="128">
        <f t="shared" si="2"/>
        <v>0</v>
      </c>
      <c r="H14" s="116"/>
      <c r="I14" s="126" t="s">
        <v>69</v>
      </c>
      <c r="J14" s="129">
        <f>VLOOKUP($A$1,Statut_prof!$B:$AF,18,0)</f>
        <v>43</v>
      </c>
      <c r="K14" s="128">
        <f t="shared" si="3"/>
        <v>8.2061068702290074E-2</v>
      </c>
      <c r="M14" s="126"/>
      <c r="N14" s="140"/>
      <c r="O14" s="140"/>
      <c r="P14" s="140"/>
      <c r="Q14" s="140"/>
      <c r="R14" s="140"/>
      <c r="S14" s="140"/>
      <c r="T14" s="140"/>
      <c r="U14" s="141"/>
    </row>
    <row r="15" spans="1:21" s="114" customFormat="1" x14ac:dyDescent="0.2">
      <c r="A15" s="126" t="s">
        <v>203</v>
      </c>
      <c r="B15" s="127">
        <v>0</v>
      </c>
      <c r="C15" s="128">
        <f t="shared" si="1"/>
        <v>0</v>
      </c>
      <c r="D15" s="116"/>
      <c r="E15" s="126"/>
      <c r="F15" s="135"/>
      <c r="G15" s="142"/>
      <c r="H15" s="116"/>
      <c r="I15" s="126" t="s">
        <v>201</v>
      </c>
      <c r="J15" s="129">
        <v>0</v>
      </c>
      <c r="K15" s="128">
        <f t="shared" si="3"/>
        <v>0</v>
      </c>
      <c r="M15" s="126"/>
      <c r="N15" s="132" t="s">
        <v>194</v>
      </c>
      <c r="O15" s="132">
        <v>1</v>
      </c>
      <c r="P15" s="132">
        <v>2</v>
      </c>
      <c r="Q15" s="132">
        <v>3</v>
      </c>
      <c r="R15" s="132">
        <v>4</v>
      </c>
      <c r="S15" s="132">
        <v>5</v>
      </c>
      <c r="T15" s="132" t="s">
        <v>195</v>
      </c>
      <c r="U15" s="133" t="s">
        <v>196</v>
      </c>
    </row>
    <row r="16" spans="1:21" s="114" customFormat="1" x14ac:dyDescent="0.2">
      <c r="A16" s="126" t="s">
        <v>128</v>
      </c>
      <c r="B16" s="127">
        <f>VLOOKUP($A$1,Motif_demande!$B:$AF,17,0)</f>
        <v>33</v>
      </c>
      <c r="C16" s="128">
        <f t="shared" si="1"/>
        <v>6.2857142857142861E-2</v>
      </c>
      <c r="D16" s="116"/>
      <c r="E16" s="143"/>
      <c r="F16" s="144">
        <f>SUM(F7:F14)</f>
        <v>525</v>
      </c>
      <c r="G16" s="145">
        <f>SUM(G7:G14)</f>
        <v>1</v>
      </c>
      <c r="H16" s="116"/>
      <c r="I16" s="126"/>
      <c r="J16" s="135"/>
      <c r="K16" s="142"/>
      <c r="L16" s="116"/>
      <c r="M16" s="126" t="s">
        <v>197</v>
      </c>
      <c r="N16" s="146">
        <f>N9/$U$13</f>
        <v>9.9047619047619051E-2</v>
      </c>
      <c r="O16" s="146">
        <f t="shared" ref="O16:U17" si="5">O9/$U$13</f>
        <v>4.9523809523809526E-2</v>
      </c>
      <c r="P16" s="146">
        <f t="shared" si="5"/>
        <v>7.2380952380952379E-2</v>
      </c>
      <c r="Q16" s="146">
        <f t="shared" si="5"/>
        <v>4.9523809523809526E-2</v>
      </c>
      <c r="R16" s="146">
        <f t="shared" si="5"/>
        <v>1.5238095238095238E-2</v>
      </c>
      <c r="S16" s="146">
        <f t="shared" si="5"/>
        <v>9.5238095238095247E-3</v>
      </c>
      <c r="T16" s="146">
        <f t="shared" si="5"/>
        <v>9.5238095238095247E-3</v>
      </c>
      <c r="U16" s="147">
        <f>U9/$U$13</f>
        <v>0.30476190476190479</v>
      </c>
    </row>
    <row r="17" spans="1:21" s="114" customFormat="1" x14ac:dyDescent="0.2">
      <c r="A17" s="126" t="s">
        <v>129</v>
      </c>
      <c r="B17" s="127">
        <f>VLOOKUP($A$1,Motif_demande!$B:$AF,18,0)</f>
        <v>92</v>
      </c>
      <c r="C17" s="128">
        <f t="shared" si="1"/>
        <v>0.17523809523809525</v>
      </c>
      <c r="D17" s="116"/>
      <c r="E17" s="116"/>
      <c r="F17" s="148"/>
      <c r="G17" s="116"/>
      <c r="H17" s="116"/>
      <c r="I17" s="143"/>
      <c r="J17" s="149">
        <f>SUM(J7:J15)</f>
        <v>524</v>
      </c>
      <c r="K17" s="145">
        <f>SUM(K7:K15)</f>
        <v>1</v>
      </c>
      <c r="L17" s="116"/>
      <c r="M17" s="126" t="s">
        <v>199</v>
      </c>
      <c r="N17" s="146">
        <f>N10/$U$13</f>
        <v>0.37904761904761902</v>
      </c>
      <c r="O17" s="146">
        <f t="shared" si="5"/>
        <v>0.15047619047619049</v>
      </c>
      <c r="P17" s="146">
        <f t="shared" si="5"/>
        <v>0.1180952380952381</v>
      </c>
      <c r="Q17" s="146">
        <f t="shared" si="5"/>
        <v>3.4285714285714287E-2</v>
      </c>
      <c r="R17" s="146">
        <f t="shared" si="5"/>
        <v>1.1428571428571429E-2</v>
      </c>
      <c r="S17" s="146">
        <f t="shared" si="5"/>
        <v>0</v>
      </c>
      <c r="T17" s="146">
        <f t="shared" si="5"/>
        <v>1.9047619047619048E-3</v>
      </c>
      <c r="U17" s="147">
        <f t="shared" si="5"/>
        <v>0.69523809523809521</v>
      </c>
    </row>
    <row r="18" spans="1:21" s="114" customFormat="1" x14ac:dyDescent="0.2">
      <c r="A18" s="126" t="s">
        <v>130</v>
      </c>
      <c r="B18" s="127">
        <f>VLOOKUP($A$1,Motif_demande!$B:$AF,19,0)</f>
        <v>6</v>
      </c>
      <c r="C18" s="128">
        <f t="shared" si="1"/>
        <v>1.1428571428571429E-2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26"/>
      <c r="N18" s="150"/>
      <c r="O18" s="150"/>
      <c r="P18" s="150"/>
      <c r="Q18" s="150"/>
      <c r="R18" s="150"/>
      <c r="S18" s="150"/>
      <c r="T18" s="150"/>
      <c r="U18" s="142"/>
    </row>
    <row r="19" spans="1:21" s="114" customFormat="1" ht="18.75" x14ac:dyDescent="0.3">
      <c r="A19" s="126" t="s">
        <v>131</v>
      </c>
      <c r="B19" s="127">
        <f>VLOOKUP($A$1,Motif_demande!$B:$AF,20,0)</f>
        <v>74</v>
      </c>
      <c r="C19" s="128">
        <f t="shared" si="1"/>
        <v>0.14095238095238094</v>
      </c>
      <c r="D19" s="116"/>
      <c r="E19" s="117" t="s">
        <v>204</v>
      </c>
      <c r="F19" s="118"/>
      <c r="G19" s="119"/>
      <c r="H19" s="116"/>
      <c r="I19" s="117" t="s">
        <v>205</v>
      </c>
      <c r="J19" s="118"/>
      <c r="K19" s="119"/>
      <c r="L19" s="116"/>
      <c r="M19" s="151"/>
      <c r="N19" s="152">
        <f t="shared" ref="N19:T19" si="6">N13/$U$13</f>
        <v>0.47809523809523807</v>
      </c>
      <c r="O19" s="152">
        <f t="shared" si="6"/>
        <v>0.2</v>
      </c>
      <c r="P19" s="152">
        <f t="shared" si="6"/>
        <v>0.19047619047619047</v>
      </c>
      <c r="Q19" s="152">
        <f t="shared" si="6"/>
        <v>8.3809523809523806E-2</v>
      </c>
      <c r="R19" s="152">
        <f t="shared" si="6"/>
        <v>2.6666666666666668E-2</v>
      </c>
      <c r="S19" s="152">
        <f t="shared" si="6"/>
        <v>9.5238095238095247E-3</v>
      </c>
      <c r="T19" s="152">
        <f t="shared" si="6"/>
        <v>1.1428571428571429E-2</v>
      </c>
      <c r="U19" s="153">
        <f>SUM(U13/U13)</f>
        <v>1</v>
      </c>
    </row>
    <row r="20" spans="1:21" s="114" customFormat="1" x14ac:dyDescent="0.2">
      <c r="A20" s="126" t="s">
        <v>132</v>
      </c>
      <c r="B20" s="127">
        <f>VLOOKUP($A$1,Motif_demande!$B:$AF,21,0)</f>
        <v>7</v>
      </c>
      <c r="C20" s="128">
        <f t="shared" si="1"/>
        <v>1.3333333333333334E-2</v>
      </c>
      <c r="D20" s="116"/>
      <c r="E20" s="120"/>
      <c r="F20" s="121"/>
      <c r="G20" s="122"/>
      <c r="H20" s="116"/>
      <c r="I20" s="120"/>
      <c r="J20" s="121"/>
      <c r="K20" s="122"/>
      <c r="L20" s="116"/>
      <c r="M20" s="116"/>
      <c r="N20" s="116"/>
      <c r="O20" s="116"/>
      <c r="P20" s="116"/>
      <c r="Q20" s="116"/>
      <c r="R20" s="116"/>
      <c r="S20" s="116"/>
      <c r="T20" s="116"/>
      <c r="U20" s="116"/>
    </row>
    <row r="21" spans="1:21" s="114" customFormat="1" ht="18.75" x14ac:dyDescent="0.3">
      <c r="A21" s="126" t="s">
        <v>206</v>
      </c>
      <c r="B21" s="127">
        <f>VLOOKUP($A$1,Motif_demande!$B:$AF,23,0)</f>
        <v>13</v>
      </c>
      <c r="C21" s="128">
        <f t="shared" si="1"/>
        <v>2.4761904761904763E-2</v>
      </c>
      <c r="D21" s="116"/>
      <c r="E21" s="154">
        <v>0</v>
      </c>
      <c r="F21" s="129">
        <f>VLOOKUP($A$1,RevenuMens_menage!$B:$S,4,0)</f>
        <v>13</v>
      </c>
      <c r="G21" s="128">
        <f>F21/$F$36</f>
        <v>2.4761904761904763E-2</v>
      </c>
      <c r="I21" s="154">
        <v>0</v>
      </c>
      <c r="J21" s="129">
        <f>VLOOKUP($A$1,Revenu_UC!$B:$S,4,0)</f>
        <v>13</v>
      </c>
      <c r="K21" s="128">
        <f t="shared" ref="K21:K33" si="7">J21/$J$36</f>
        <v>2.4761904761904763E-2</v>
      </c>
      <c r="M21" s="117" t="s">
        <v>207</v>
      </c>
      <c r="N21" s="118"/>
      <c r="O21" s="119"/>
      <c r="P21" s="116"/>
      <c r="Q21" s="117" t="s">
        <v>208</v>
      </c>
      <c r="R21" s="118"/>
      <c r="S21" s="119"/>
      <c r="T21" s="116"/>
      <c r="U21" s="116"/>
    </row>
    <row r="22" spans="1:21" s="114" customFormat="1" x14ac:dyDescent="0.2">
      <c r="A22" s="126" t="s">
        <v>134</v>
      </c>
      <c r="B22" s="127">
        <f>VLOOKUP($A$1,Motif_demande!$B:$AF,24,0)+VLOOKUP($A$1,Motif_demande!$B:$AF,8,0)</f>
        <v>11</v>
      </c>
      <c r="C22" s="128">
        <f t="shared" si="1"/>
        <v>2.0952380952380951E-2</v>
      </c>
      <c r="D22" s="116"/>
      <c r="E22" s="126" t="s">
        <v>80</v>
      </c>
      <c r="F22" s="129">
        <f>VLOOKUP($A$1,RevenuMens_menage!$B:$S,5,0)</f>
        <v>36</v>
      </c>
      <c r="G22" s="128">
        <f t="shared" ref="G22:G33" si="8">F22/$F$36</f>
        <v>6.8571428571428575E-2</v>
      </c>
      <c r="I22" s="126" t="s">
        <v>80</v>
      </c>
      <c r="J22" s="129">
        <f>VLOOKUP($A$1,Revenu_UC!$B:$S,5,0)</f>
        <v>61</v>
      </c>
      <c r="K22" s="128">
        <f t="shared" si="7"/>
        <v>0.11619047619047619</v>
      </c>
      <c r="M22" s="120"/>
      <c r="N22" s="121"/>
      <c r="O22" s="122"/>
      <c r="P22" s="116"/>
      <c r="Q22" s="120"/>
      <c r="R22" s="121"/>
      <c r="S22" s="122"/>
      <c r="T22" s="116"/>
      <c r="U22" s="116"/>
    </row>
    <row r="23" spans="1:21" s="114" customFormat="1" x14ac:dyDescent="0.2">
      <c r="A23" s="126" t="s">
        <v>135</v>
      </c>
      <c r="B23" s="127">
        <f>VLOOKUP($A$1,Motif_demande!$B:$AF,25,0)</f>
        <v>1</v>
      </c>
      <c r="C23" s="128">
        <f t="shared" si="1"/>
        <v>1.9047619047619048E-3</v>
      </c>
      <c r="D23" s="116"/>
      <c r="E23" s="126" t="s">
        <v>81</v>
      </c>
      <c r="F23" s="129">
        <f>VLOOKUP($A$1,RevenuMens_menage!$B:$S,6,0)</f>
        <v>115</v>
      </c>
      <c r="G23" s="128">
        <f t="shared" si="8"/>
        <v>0.21904761904761905</v>
      </c>
      <c r="I23" s="126" t="s">
        <v>81</v>
      </c>
      <c r="J23" s="129">
        <f>VLOOKUP($A$1,Revenu_UC!$B:$S,6,0)</f>
        <v>217</v>
      </c>
      <c r="K23" s="128">
        <f t="shared" si="7"/>
        <v>0.41333333333333333</v>
      </c>
      <c r="M23" s="155" t="s">
        <v>209</v>
      </c>
      <c r="N23" s="129">
        <f>VLOOKUP($A$1,Logt_actuel!$B:$S,3,0)</f>
        <v>3</v>
      </c>
      <c r="O23" s="128">
        <f t="shared" ref="O23:O42" si="9">N23/$N$44</f>
        <v>5.7142857142857143E-3</v>
      </c>
      <c r="Q23" s="126" t="s">
        <v>210</v>
      </c>
      <c r="R23" s="129">
        <f>VLOOKUP($A$1,Typologie!$B:$S,3,0)</f>
        <v>37</v>
      </c>
      <c r="S23" s="128">
        <f t="shared" ref="S23:S28" si="10">R23/$R$30</f>
        <v>7.047619047619047E-2</v>
      </c>
      <c r="T23" s="116"/>
      <c r="U23" s="116"/>
    </row>
    <row r="24" spans="1:21" s="114" customFormat="1" x14ac:dyDescent="0.2">
      <c r="A24" s="126" t="s">
        <v>136</v>
      </c>
      <c r="B24" s="127">
        <f>VLOOKUP($A$1,Motif_demande!$B:$AF,26,0)</f>
        <v>23</v>
      </c>
      <c r="C24" s="128">
        <f t="shared" si="1"/>
        <v>4.3809523809523812E-2</v>
      </c>
      <c r="D24" s="116"/>
      <c r="E24" s="126" t="s">
        <v>82</v>
      </c>
      <c r="F24" s="129">
        <f>VLOOKUP($A$1,RevenuMens_menage!$B:$S,7,0)</f>
        <v>149</v>
      </c>
      <c r="G24" s="128">
        <f t="shared" si="8"/>
        <v>0.28380952380952379</v>
      </c>
      <c r="I24" s="126" t="s">
        <v>82</v>
      </c>
      <c r="J24" s="129">
        <f>VLOOKUP($A$1,Revenu_UC!$B:$S,7,0)</f>
        <v>159</v>
      </c>
      <c r="K24" s="128">
        <f t="shared" si="7"/>
        <v>0.30285714285714288</v>
      </c>
      <c r="M24" s="155" t="s">
        <v>101</v>
      </c>
      <c r="N24" s="129">
        <f>VLOOKUP($A$1,Logt_actuel!$B:$S,8,0)</f>
        <v>1</v>
      </c>
      <c r="O24" s="128">
        <f t="shared" si="9"/>
        <v>1.9047619047619048E-3</v>
      </c>
      <c r="Q24" s="126" t="s">
        <v>160</v>
      </c>
      <c r="R24" s="129">
        <f>VLOOKUP($A$1,Typologie!$B:$S,4,0)</f>
        <v>151</v>
      </c>
      <c r="S24" s="128">
        <f t="shared" si="10"/>
        <v>0.28761904761904761</v>
      </c>
      <c r="T24" s="116"/>
      <c r="U24" s="116"/>
    </row>
    <row r="25" spans="1:21" s="114" customFormat="1" x14ac:dyDescent="0.2">
      <c r="A25" s="126" t="s">
        <v>211</v>
      </c>
      <c r="B25" s="127">
        <f>VLOOKUP($A$1,Motif_demande!$B:$AF,12,0)</f>
        <v>14</v>
      </c>
      <c r="C25" s="128">
        <f t="shared" si="1"/>
        <v>2.6666666666666668E-2</v>
      </c>
      <c r="D25" s="116"/>
      <c r="E25" s="126" t="s">
        <v>83</v>
      </c>
      <c r="F25" s="129">
        <f>VLOOKUP($A$1,RevenuMens_menage!$B:$S,8,0)</f>
        <v>93</v>
      </c>
      <c r="G25" s="128">
        <f t="shared" si="8"/>
        <v>0.17714285714285713</v>
      </c>
      <c r="I25" s="126" t="s">
        <v>83</v>
      </c>
      <c r="J25" s="129">
        <f>VLOOKUP($A$1,Revenu_UC!$B:$S,8,0)</f>
        <v>52</v>
      </c>
      <c r="K25" s="128">
        <f t="shared" si="7"/>
        <v>9.9047619047619051E-2</v>
      </c>
      <c r="M25" s="155" t="s">
        <v>97</v>
      </c>
      <c r="N25" s="129">
        <f>VLOOKUP($A$1,Logt_actuel!$B:$S,4,0)</f>
        <v>0</v>
      </c>
      <c r="O25" s="128">
        <f t="shared" si="9"/>
        <v>0</v>
      </c>
      <c r="Q25" s="126" t="s">
        <v>161</v>
      </c>
      <c r="R25" s="129">
        <f>VLOOKUP($A$1,Typologie!$B:$S,5,0)</f>
        <v>198</v>
      </c>
      <c r="S25" s="128">
        <f t="shared" si="10"/>
        <v>0.37714285714285717</v>
      </c>
      <c r="T25" s="116"/>
      <c r="U25" s="116"/>
    </row>
    <row r="26" spans="1:21" s="114" customFormat="1" x14ac:dyDescent="0.2">
      <c r="A26" s="126" t="s">
        <v>212</v>
      </c>
      <c r="B26" s="127">
        <f>VLOOKUP($A$1,Motif_demande!$B:$AF,13,0)</f>
        <v>1</v>
      </c>
      <c r="C26" s="128">
        <f t="shared" si="1"/>
        <v>1.9047619047619048E-3</v>
      </c>
      <c r="D26" s="116"/>
      <c r="E26" s="126" t="s">
        <v>84</v>
      </c>
      <c r="F26" s="129">
        <f>VLOOKUP($A$1,RevenuMens_menage!$B:$S,9,0)</f>
        <v>52</v>
      </c>
      <c r="G26" s="128">
        <f t="shared" si="8"/>
        <v>9.9047619047619051E-2</v>
      </c>
      <c r="I26" s="126" t="s">
        <v>84</v>
      </c>
      <c r="J26" s="129">
        <f>VLOOKUP($A$1,Revenu_UC!$B:$S,9,0)</f>
        <v>9</v>
      </c>
      <c r="K26" s="128">
        <f t="shared" si="7"/>
        <v>1.7142857142857144E-2</v>
      </c>
      <c r="M26" s="155" t="s">
        <v>98</v>
      </c>
      <c r="N26" s="129">
        <f>VLOOKUP($A$1,Logt_actuel!$B:$S,5,0)</f>
        <v>54</v>
      </c>
      <c r="O26" s="128">
        <f t="shared" si="9"/>
        <v>0.10285714285714286</v>
      </c>
      <c r="Q26" s="126" t="s">
        <v>162</v>
      </c>
      <c r="R26" s="129">
        <f>VLOOKUP($A$1,Typologie!$B:$S,6,0)</f>
        <v>117</v>
      </c>
      <c r="S26" s="128">
        <f t="shared" si="10"/>
        <v>0.22285714285714286</v>
      </c>
      <c r="T26" s="116"/>
      <c r="U26" s="116"/>
    </row>
    <row r="27" spans="1:21" s="114" customFormat="1" x14ac:dyDescent="0.2">
      <c r="A27" s="126" t="s">
        <v>213</v>
      </c>
      <c r="B27" s="127">
        <f>VLOOKUP($A$1,Motif_demande!$B:$AF,14,0)</f>
        <v>11</v>
      </c>
      <c r="C27" s="128">
        <f t="shared" si="1"/>
        <v>2.0952380952380951E-2</v>
      </c>
      <c r="D27" s="116"/>
      <c r="E27" s="126" t="s">
        <v>85</v>
      </c>
      <c r="F27" s="129">
        <f>VLOOKUP($A$1,RevenuMens_menage!$B:$S,10,0)</f>
        <v>35</v>
      </c>
      <c r="G27" s="128">
        <f t="shared" si="8"/>
        <v>6.6666666666666666E-2</v>
      </c>
      <c r="I27" s="126" t="s">
        <v>85</v>
      </c>
      <c r="J27" s="129">
        <f>VLOOKUP($A$1,Revenu_UC!$B:$S,10,0)</f>
        <v>3</v>
      </c>
      <c r="K27" s="128">
        <f t="shared" si="7"/>
        <v>5.7142857142857143E-3</v>
      </c>
      <c r="M27" s="155" t="s">
        <v>99</v>
      </c>
      <c r="N27" s="129">
        <f>VLOOKUP($A$1,Logt_actuel!$B:$S,6,0)</f>
        <v>56</v>
      </c>
      <c r="O27" s="128">
        <f t="shared" si="9"/>
        <v>0.10666666666666667</v>
      </c>
      <c r="Q27" s="126" t="s">
        <v>163</v>
      </c>
      <c r="R27" s="129">
        <f>VLOOKUP($A$1,Typologie!$B:$S,7,0)</f>
        <v>22</v>
      </c>
      <c r="S27" s="128">
        <f t="shared" si="10"/>
        <v>4.1904761904761903E-2</v>
      </c>
      <c r="T27" s="116"/>
      <c r="U27" s="116"/>
    </row>
    <row r="28" spans="1:21" s="114" customFormat="1" x14ac:dyDescent="0.2">
      <c r="A28" s="126" t="s">
        <v>137</v>
      </c>
      <c r="B28" s="127">
        <f>VLOOKUP($A$1,Motif_demande!$B:$AF,27,0)</f>
        <v>9</v>
      </c>
      <c r="C28" s="128">
        <f t="shared" si="1"/>
        <v>1.7142857142857144E-2</v>
      </c>
      <c r="D28" s="116"/>
      <c r="E28" s="126" t="s">
        <v>86</v>
      </c>
      <c r="F28" s="129">
        <f>VLOOKUP($A$1,RevenuMens_menage!$B:$S,11,0)</f>
        <v>13</v>
      </c>
      <c r="G28" s="128">
        <f t="shared" si="8"/>
        <v>2.4761904761904763E-2</v>
      </c>
      <c r="I28" s="126" t="s">
        <v>86</v>
      </c>
      <c r="J28" s="129">
        <f>VLOOKUP($A$1,Revenu_UC!$B:$S,11,0)</f>
        <v>0</v>
      </c>
      <c r="K28" s="128">
        <f t="shared" si="7"/>
        <v>0</v>
      </c>
      <c r="M28" s="155" t="s">
        <v>102</v>
      </c>
      <c r="N28" s="129">
        <f>VLOOKUP($A$1,Logt_actuel!$B:$S,9,0)</f>
        <v>0</v>
      </c>
      <c r="O28" s="128">
        <f t="shared" si="9"/>
        <v>0</v>
      </c>
      <c r="Q28" s="126" t="s">
        <v>164</v>
      </c>
      <c r="R28" s="129">
        <f>VLOOKUP($A$1,Typologie!$B:$S,8,0)</f>
        <v>0</v>
      </c>
      <c r="S28" s="128">
        <f t="shared" si="10"/>
        <v>0</v>
      </c>
      <c r="T28" s="116"/>
      <c r="U28" s="116"/>
    </row>
    <row r="29" spans="1:21" s="114" customFormat="1" x14ac:dyDescent="0.2">
      <c r="A29" s="126" t="s">
        <v>139</v>
      </c>
      <c r="B29" s="127">
        <f>VLOOKUP($A$1,Motif_demande!$B:$AF,29,0)</f>
        <v>61</v>
      </c>
      <c r="C29" s="128">
        <f t="shared" si="1"/>
        <v>0.11619047619047619</v>
      </c>
      <c r="D29" s="116"/>
      <c r="E29" s="126" t="s">
        <v>87</v>
      </c>
      <c r="F29" s="129">
        <f>VLOOKUP($A$1,RevenuMens_menage!$B:$S,12,0)</f>
        <v>2</v>
      </c>
      <c r="G29" s="128">
        <f t="shared" si="8"/>
        <v>3.8095238095238095E-3</v>
      </c>
      <c r="I29" s="126" t="s">
        <v>87</v>
      </c>
      <c r="J29" s="129">
        <f>VLOOKUP($A$1,Revenu_UC!$B:$S,12,0)</f>
        <v>0</v>
      </c>
      <c r="K29" s="128">
        <f t="shared" si="7"/>
        <v>0</v>
      </c>
      <c r="M29" s="155" t="s">
        <v>214</v>
      </c>
      <c r="N29" s="129">
        <f>VLOOKUP($A$1,Logt_actuel!$B:$S,11,0)</f>
        <v>106</v>
      </c>
      <c r="O29" s="128">
        <f t="shared" si="9"/>
        <v>0.20190476190476189</v>
      </c>
      <c r="Q29" s="126"/>
      <c r="R29" s="135"/>
      <c r="S29" s="142"/>
    </row>
    <row r="30" spans="1:21" s="114" customFormat="1" x14ac:dyDescent="0.2">
      <c r="A30" s="126" t="s">
        <v>138</v>
      </c>
      <c r="B30" s="127">
        <f>VLOOKUP($A$1,Motif_demande!$B:$AF,28,0)</f>
        <v>0</v>
      </c>
      <c r="C30" s="128">
        <f t="shared" si="1"/>
        <v>0</v>
      </c>
      <c r="D30" s="116"/>
      <c r="E30" s="126" t="s">
        <v>88</v>
      </c>
      <c r="F30" s="129">
        <f>VLOOKUP($A$1,RevenuMens_menage!$B:$S,13,0)</f>
        <v>3</v>
      </c>
      <c r="G30" s="128">
        <f t="shared" si="8"/>
        <v>5.7142857142857143E-3</v>
      </c>
      <c r="I30" s="126" t="s">
        <v>88</v>
      </c>
      <c r="J30" s="129">
        <f>VLOOKUP($A$1,Revenu_UC!$B:$S,13,0)</f>
        <v>0</v>
      </c>
      <c r="K30" s="128">
        <f t="shared" si="7"/>
        <v>0</v>
      </c>
      <c r="M30" s="155" t="s">
        <v>215</v>
      </c>
      <c r="N30" s="129">
        <f>VLOOKUP($A$1,Logt_actuel!$B:$S,12,0)</f>
        <v>264</v>
      </c>
      <c r="O30" s="128">
        <f t="shared" si="9"/>
        <v>0.50285714285714289</v>
      </c>
      <c r="Q30" s="151"/>
      <c r="R30" s="144">
        <f>SUM(R23:R28)</f>
        <v>525</v>
      </c>
      <c r="S30" s="145">
        <f>SUM(S23:S28)</f>
        <v>1</v>
      </c>
    </row>
    <row r="31" spans="1:21" s="114" customFormat="1" x14ac:dyDescent="0.2">
      <c r="A31" s="126" t="s">
        <v>140</v>
      </c>
      <c r="B31" s="127">
        <f>VLOOKUP($A$1,Motif_demande!$B:$AF,31,0)</f>
        <v>4</v>
      </c>
      <c r="C31" s="128">
        <f t="shared" si="1"/>
        <v>7.619047619047619E-3</v>
      </c>
      <c r="D31" s="116"/>
      <c r="E31" s="126" t="s">
        <v>89</v>
      </c>
      <c r="F31" s="129">
        <f>VLOOKUP($A$1,RevenuMens_menage!$B:$S,14,0)</f>
        <v>1</v>
      </c>
      <c r="G31" s="128">
        <f t="shared" si="8"/>
        <v>1.9047619047619048E-3</v>
      </c>
      <c r="I31" s="126" t="s">
        <v>89</v>
      </c>
      <c r="J31" s="129">
        <f>VLOOKUP($A$1,Revenu_UC!$B:$S,14,0)</f>
        <v>0</v>
      </c>
      <c r="K31" s="128">
        <f t="shared" si="7"/>
        <v>0</v>
      </c>
      <c r="M31" s="155" t="s">
        <v>216</v>
      </c>
      <c r="N31" s="129">
        <f>VLOOKUP($A$1,Logt_actuel!$B:$S,13,0)</f>
        <v>0</v>
      </c>
      <c r="O31" s="128">
        <f t="shared" si="9"/>
        <v>0</v>
      </c>
    </row>
    <row r="32" spans="1:21" s="114" customFormat="1" ht="18.75" x14ac:dyDescent="0.3">
      <c r="A32" s="126" t="s">
        <v>116</v>
      </c>
      <c r="B32" s="127">
        <f>VLOOKUP($A$1,Motif_demande!$B:$AF,4,0)</f>
        <v>11</v>
      </c>
      <c r="C32" s="128">
        <f t="shared" si="1"/>
        <v>2.0952380952380951E-2</v>
      </c>
      <c r="D32" s="116"/>
      <c r="E32" s="126" t="s">
        <v>217</v>
      </c>
      <c r="F32" s="129">
        <f>VLOOKUP($A$1,RevenuMens_menage!$B:$S,15,0)</f>
        <v>4</v>
      </c>
      <c r="G32" s="128">
        <f t="shared" si="8"/>
        <v>7.619047619047619E-3</v>
      </c>
      <c r="I32" s="126" t="s">
        <v>217</v>
      </c>
      <c r="J32" s="129">
        <f>VLOOKUP($A$1,Revenu_UC!$B:$S,15,0)</f>
        <v>2</v>
      </c>
      <c r="K32" s="128">
        <f t="shared" si="7"/>
        <v>3.8095238095238095E-3</v>
      </c>
      <c r="M32" s="155" t="s">
        <v>106</v>
      </c>
      <c r="N32" s="129">
        <f>VLOOKUP($A$1,Logt_actuel!$B:$S,14,0)</f>
        <v>1</v>
      </c>
      <c r="O32" s="128">
        <f t="shared" si="9"/>
        <v>1.9047619047619048E-3</v>
      </c>
      <c r="Q32" s="117" t="s">
        <v>218</v>
      </c>
      <c r="R32" s="118"/>
      <c r="S32" s="119"/>
    </row>
    <row r="33" spans="1:19" s="114" customFormat="1" x14ac:dyDescent="0.2">
      <c r="A33" s="126" t="s">
        <v>201</v>
      </c>
      <c r="B33" s="127">
        <f>VLOOKUP($A$1,Motif_demande!$B:$AF,30,0)+VLOOKUP($A$1,Motif_demande!$B:$AF,22,0)</f>
        <v>16</v>
      </c>
      <c r="C33" s="128">
        <f t="shared" si="1"/>
        <v>3.0476190476190476E-2</v>
      </c>
      <c r="D33" s="116"/>
      <c r="E33" s="126" t="s">
        <v>201</v>
      </c>
      <c r="F33" s="129">
        <f>VLOOKUP($A$1,RevenuMens_menage!$B:$S,16,0)+VLOOKUP($A$1,RevenuMens_menage!$B:$S,17,0)</f>
        <v>9</v>
      </c>
      <c r="G33" s="128">
        <f t="shared" si="8"/>
        <v>1.7142857142857144E-2</v>
      </c>
      <c r="I33" s="126" t="s">
        <v>201</v>
      </c>
      <c r="J33" s="129">
        <f>VLOOKUP($A$1,Revenu_UC!$B:$S,17,0)+VLOOKUP($A$1,Revenu_UC!$B:$S,18,0)</f>
        <v>9</v>
      </c>
      <c r="K33" s="128">
        <f t="shared" si="7"/>
        <v>1.7142857142857144E-2</v>
      </c>
      <c r="M33" s="155" t="s">
        <v>108</v>
      </c>
      <c r="N33" s="129">
        <f>VLOOKUP($A$1,Logt_actuel!$B:$S,17,0)</f>
        <v>15</v>
      </c>
      <c r="O33" s="128">
        <f t="shared" si="9"/>
        <v>2.8571428571428571E-2</v>
      </c>
      <c r="Q33" s="120" t="s">
        <v>151</v>
      </c>
      <c r="R33" s="129">
        <f>VLOOKUP($A$1,Grp_revenu!$B:$S,3,0)</f>
        <v>236</v>
      </c>
      <c r="S33" s="128">
        <f>R33/$R$42</f>
        <v>0.44952380952380955</v>
      </c>
    </row>
    <row r="34" spans="1:19" s="114" customFormat="1" x14ac:dyDescent="0.2">
      <c r="A34" s="126"/>
      <c r="B34" s="135"/>
      <c r="C34" s="156"/>
      <c r="D34" s="116"/>
      <c r="E34" s="126"/>
      <c r="F34" s="135"/>
      <c r="G34" s="157"/>
      <c r="H34" s="116"/>
      <c r="I34" s="126"/>
      <c r="J34" s="135"/>
      <c r="K34" s="157"/>
      <c r="L34" s="116"/>
      <c r="M34" s="155" t="s">
        <v>109</v>
      </c>
      <c r="N34" s="129">
        <f>VLOOKUP($A$1,Logt_actuel!$B:$S,18,0)</f>
        <v>0</v>
      </c>
      <c r="O34" s="128">
        <f t="shared" si="9"/>
        <v>0</v>
      </c>
      <c r="Q34" s="155" t="s">
        <v>219</v>
      </c>
      <c r="R34" s="129">
        <f>VLOOKUP($A$1,Grp_revenu!$B:$S,4,0)</f>
        <v>4</v>
      </c>
      <c r="S34" s="128">
        <f t="shared" ref="S34:S40" si="11">R34/$R$42</f>
        <v>7.619047619047619E-3</v>
      </c>
    </row>
    <row r="35" spans="1:19" s="114" customFormat="1" x14ac:dyDescent="0.2">
      <c r="A35" s="151"/>
      <c r="B35" s="144">
        <f>SUM(B7:B33)</f>
        <v>525</v>
      </c>
      <c r="C35" s="145">
        <f>SUM(C7:C33)</f>
        <v>0.99999999999999989</v>
      </c>
      <c r="D35" s="158"/>
      <c r="E35" s="159" t="s">
        <v>220</v>
      </c>
      <c r="F35" s="160">
        <f>VLOOKUP($A$1,RevenuMens_menage!$B:$S,3,0)</f>
        <v>1459.5009523809524</v>
      </c>
      <c r="G35" s="142"/>
      <c r="H35" s="116"/>
      <c r="I35" s="159" t="s">
        <v>220</v>
      </c>
      <c r="J35" s="161">
        <f>VLOOKUP($A$1,Revenu_UC!$B:$S,3,0)</f>
        <v>978.05785104720439</v>
      </c>
      <c r="K35" s="162"/>
      <c r="L35" s="116"/>
      <c r="M35" s="155" t="s">
        <v>110</v>
      </c>
      <c r="N35" s="129">
        <f>VLOOKUP($A$1,Logt_actuel!$B:$Y,19,0)</f>
        <v>0</v>
      </c>
      <c r="O35" s="128">
        <f t="shared" si="9"/>
        <v>0</v>
      </c>
      <c r="Q35" s="155" t="s">
        <v>153</v>
      </c>
      <c r="R35" s="129">
        <f>VLOOKUP($A$1,Grp_revenu!$B:$S,5,0)</f>
        <v>59</v>
      </c>
      <c r="S35" s="128">
        <f t="shared" si="11"/>
        <v>0.11238095238095239</v>
      </c>
    </row>
    <row r="36" spans="1:19" s="114" customFormat="1" x14ac:dyDescent="0.2">
      <c r="B36" s="163"/>
      <c r="D36" s="158"/>
      <c r="E36" s="151"/>
      <c r="F36" s="149">
        <f>SUM(F21:F33)</f>
        <v>525</v>
      </c>
      <c r="G36" s="145">
        <f>SUM(G21:G33)</f>
        <v>0.99999999999999989</v>
      </c>
      <c r="H36" s="116"/>
      <c r="I36" s="151"/>
      <c r="J36" s="149">
        <f>SUM(J21:J33)</f>
        <v>525</v>
      </c>
      <c r="K36" s="145">
        <f>SUM(K21:K33)</f>
        <v>1</v>
      </c>
      <c r="L36" s="116"/>
      <c r="M36" s="155" t="s">
        <v>111</v>
      </c>
      <c r="N36" s="129">
        <f>VLOOKUP($A$1,Logt_actuel!$B:$Y,20,0)</f>
        <v>2</v>
      </c>
      <c r="O36" s="128">
        <f t="shared" si="9"/>
        <v>3.8095238095238095E-3</v>
      </c>
      <c r="Q36" s="155" t="s">
        <v>154</v>
      </c>
      <c r="R36" s="129">
        <f>VLOOKUP($A$1,Grp_revenu!$B:$S,6,0)</f>
        <v>49</v>
      </c>
      <c r="S36" s="128">
        <f t="shared" si="11"/>
        <v>9.3333333333333338E-2</v>
      </c>
    </row>
    <row r="37" spans="1:19" s="114" customFormat="1" ht="18.75" x14ac:dyDescent="0.3">
      <c r="A37" s="117" t="s">
        <v>221</v>
      </c>
      <c r="B37" s="118"/>
      <c r="C37" s="119"/>
      <c r="D37" s="158"/>
      <c r="E37" s="116"/>
      <c r="F37" s="116"/>
      <c r="G37" s="116"/>
      <c r="H37" s="116"/>
      <c r="I37" s="116"/>
      <c r="J37" s="116"/>
      <c r="K37" s="116"/>
      <c r="L37" s="116"/>
      <c r="M37" s="155" t="s">
        <v>112</v>
      </c>
      <c r="N37" s="129">
        <f>VLOOKUP($A$1,Logt_actuel!$B:$Y,21,0)</f>
        <v>6</v>
      </c>
      <c r="O37" s="128">
        <f t="shared" si="9"/>
        <v>1.1428571428571429E-2</v>
      </c>
      <c r="Q37" s="155" t="s">
        <v>222</v>
      </c>
      <c r="R37" s="129">
        <f>VLOOKUP($A$1,Grp_revenu!$B:$S,7,0)</f>
        <v>18</v>
      </c>
      <c r="S37" s="128">
        <f t="shared" si="11"/>
        <v>3.4285714285714287E-2</v>
      </c>
    </row>
    <row r="38" spans="1:19" s="114" customFormat="1" ht="18.75" x14ac:dyDescent="0.3">
      <c r="A38" s="120"/>
      <c r="B38" s="121"/>
      <c r="C38" s="122"/>
      <c r="D38" s="116"/>
      <c r="E38" s="117" t="s">
        <v>223</v>
      </c>
      <c r="F38" s="118"/>
      <c r="G38" s="119"/>
      <c r="H38" s="116"/>
      <c r="I38" s="117" t="s">
        <v>224</v>
      </c>
      <c r="J38" s="118"/>
      <c r="K38" s="119"/>
      <c r="L38" s="116"/>
      <c r="M38" s="164" t="s">
        <v>225</v>
      </c>
      <c r="N38" s="129">
        <f>VLOOKUP($A$1,Logt_actuel!$B:$Y,15,0)</f>
        <v>11</v>
      </c>
      <c r="O38" s="128">
        <f t="shared" si="9"/>
        <v>2.0952380952380951E-2</v>
      </c>
      <c r="Q38" s="155" t="s">
        <v>156</v>
      </c>
      <c r="R38" s="129">
        <f>VLOOKUP($A$1,Grp_revenu!$B:$S,8,0)</f>
        <v>73</v>
      </c>
      <c r="S38" s="128">
        <f t="shared" si="11"/>
        <v>0.13904761904761906</v>
      </c>
    </row>
    <row r="39" spans="1:19" s="114" customFormat="1" x14ac:dyDescent="0.2">
      <c r="A39" s="126" t="s">
        <v>226</v>
      </c>
      <c r="B39" s="129">
        <f>VLOOKUP($A$1,Ancienneté!$B:$AF,4,0)</f>
        <v>276</v>
      </c>
      <c r="C39" s="165">
        <f t="shared" ref="C39:C45" si="12">B39/B$48</f>
        <v>0.52571428571428569</v>
      </c>
      <c r="D39" s="116"/>
      <c r="E39" s="120"/>
      <c r="F39" s="121"/>
      <c r="G39" s="122"/>
      <c r="H39" s="116"/>
      <c r="I39" s="120"/>
      <c r="J39" s="121"/>
      <c r="K39" s="122"/>
      <c r="L39" s="116"/>
      <c r="M39" s="155" t="s">
        <v>113</v>
      </c>
      <c r="N39" s="129">
        <f>VLOOKUP($A$1,Logt_actuel!$B:$Y,23,0)</f>
        <v>2</v>
      </c>
      <c r="O39" s="128">
        <f t="shared" si="9"/>
        <v>3.8095238095238095E-3</v>
      </c>
      <c r="Q39" s="155" t="s">
        <v>157</v>
      </c>
      <c r="R39" s="129">
        <f>VLOOKUP($A$1,Grp_revenu!$B:$S,9,0)</f>
        <v>60</v>
      </c>
      <c r="S39" s="128">
        <f t="shared" si="11"/>
        <v>0.11428571428571428</v>
      </c>
    </row>
    <row r="40" spans="1:19" s="114" customFormat="1" x14ac:dyDescent="0.2">
      <c r="A40" s="126" t="s">
        <v>5</v>
      </c>
      <c r="B40" s="129">
        <f>VLOOKUP($A$1,Ancienneté!$B:$AF,5,0)</f>
        <v>114</v>
      </c>
      <c r="C40" s="165">
        <f t="shared" si="12"/>
        <v>0.21714285714285714</v>
      </c>
      <c r="D40" s="116"/>
      <c r="E40" s="126" t="s">
        <v>33</v>
      </c>
      <c r="F40" s="129">
        <f>VLOOKUP($A$1,Taille_menage!$B:$AF,4,0)</f>
        <v>199</v>
      </c>
      <c r="G40" s="128">
        <f t="shared" ref="G40:G47" si="13">F40/$F$50</f>
        <v>0.37904761904761902</v>
      </c>
      <c r="H40" s="116"/>
      <c r="I40" s="126" t="s">
        <v>227</v>
      </c>
      <c r="J40" s="129">
        <f>VLOOKUP($A$1,Age_demandeur!$B:$AF,4,0)</f>
        <v>4</v>
      </c>
      <c r="K40" s="128">
        <f t="shared" ref="K40:K53" si="14">J40/$J$56</f>
        <v>7.619047619047619E-3</v>
      </c>
      <c r="L40" s="116"/>
      <c r="M40" s="155" t="s">
        <v>228</v>
      </c>
      <c r="N40" s="129">
        <v>0</v>
      </c>
      <c r="O40" s="128">
        <f t="shared" si="9"/>
        <v>0</v>
      </c>
      <c r="Q40" s="155" t="s">
        <v>55</v>
      </c>
      <c r="R40" s="129">
        <f>VLOOKUP($A$1,Grp_revenu!$B:$S,10,0)</f>
        <v>26</v>
      </c>
      <c r="S40" s="128">
        <f t="shared" si="11"/>
        <v>4.9523809523809526E-2</v>
      </c>
    </row>
    <row r="41" spans="1:19" s="114" customFormat="1" x14ac:dyDescent="0.2">
      <c r="A41" s="126" t="s">
        <v>229</v>
      </c>
      <c r="B41" s="129">
        <f>VLOOKUP($A$1,Ancienneté!$B:$AF,6,0)</f>
        <v>51</v>
      </c>
      <c r="C41" s="165">
        <f t="shared" si="12"/>
        <v>9.7142857142857142E-2</v>
      </c>
      <c r="D41" s="116"/>
      <c r="E41" s="126" t="s">
        <v>34</v>
      </c>
      <c r="F41" s="129">
        <f>VLOOKUP($A$1,Taille_menage!$B:$AF,5,0)</f>
        <v>131</v>
      </c>
      <c r="G41" s="128">
        <f t="shared" si="13"/>
        <v>0.24952380952380954</v>
      </c>
      <c r="H41" s="116"/>
      <c r="I41" s="126" t="s">
        <v>230</v>
      </c>
      <c r="J41" s="129">
        <f>VLOOKUP($A$1,Age_demandeur!$B:$AF,5,0)</f>
        <v>31</v>
      </c>
      <c r="K41" s="128">
        <f t="shared" si="14"/>
        <v>5.904761904761905E-2</v>
      </c>
      <c r="L41" s="116"/>
      <c r="M41" s="164" t="s">
        <v>114</v>
      </c>
      <c r="N41" s="129">
        <f>VLOOKUP($A$1,Logt_actuel!$B:$Y,24,0)</f>
        <v>4</v>
      </c>
      <c r="O41" s="128">
        <f t="shared" si="9"/>
        <v>7.619047619047619E-3</v>
      </c>
      <c r="Q41" s="126"/>
      <c r="R41" s="135"/>
      <c r="S41" s="142"/>
    </row>
    <row r="42" spans="1:19" s="114" customFormat="1" x14ac:dyDescent="0.2">
      <c r="A42" s="126" t="s">
        <v>231</v>
      </c>
      <c r="B42" s="129">
        <f>VLOOKUP($A$1,Ancienneté!$B:$AF,7,0)</f>
        <v>32</v>
      </c>
      <c r="C42" s="165">
        <f t="shared" si="12"/>
        <v>6.0952380952380952E-2</v>
      </c>
      <c r="D42" s="116"/>
      <c r="E42" s="126" t="s">
        <v>35</v>
      </c>
      <c r="F42" s="129">
        <f>VLOOKUP($A$1,Taille_menage!$B:$AF,6,0)</f>
        <v>87</v>
      </c>
      <c r="G42" s="128">
        <f t="shared" si="13"/>
        <v>0.1657142857142857</v>
      </c>
      <c r="H42" s="116"/>
      <c r="I42" s="126" t="s">
        <v>232</v>
      </c>
      <c r="J42" s="129">
        <f>VLOOKUP($A$1,Age_demandeur!$B:$AF,6,0)</f>
        <v>44</v>
      </c>
      <c r="K42" s="128">
        <f t="shared" si="14"/>
        <v>8.3809523809523806E-2</v>
      </c>
      <c r="L42" s="116"/>
      <c r="M42" s="155" t="s">
        <v>201</v>
      </c>
      <c r="N42" s="129">
        <v>0</v>
      </c>
      <c r="O42" s="128">
        <f t="shared" si="9"/>
        <v>0</v>
      </c>
      <c r="Q42" s="151"/>
      <c r="R42" s="144">
        <f>SUM(R33:R40)</f>
        <v>525</v>
      </c>
      <c r="S42" s="145">
        <f>SUM(S33:S40)</f>
        <v>1</v>
      </c>
    </row>
    <row r="43" spans="1:19" s="114" customFormat="1" x14ac:dyDescent="0.2">
      <c r="A43" s="126" t="s">
        <v>233</v>
      </c>
      <c r="B43" s="129">
        <f>VLOOKUP($A$1,Ancienneté!$B:$AF,8,0)</f>
        <v>16</v>
      </c>
      <c r="C43" s="165">
        <f t="shared" si="12"/>
        <v>3.0476190476190476E-2</v>
      </c>
      <c r="D43" s="116"/>
      <c r="E43" s="126" t="s">
        <v>36</v>
      </c>
      <c r="F43" s="129">
        <f>VLOOKUP($A$1,Taille_menage!$B:$AF,7,0)</f>
        <v>55</v>
      </c>
      <c r="G43" s="128">
        <f t="shared" si="13"/>
        <v>0.10476190476190476</v>
      </c>
      <c r="H43" s="116"/>
      <c r="I43" s="126" t="s">
        <v>16</v>
      </c>
      <c r="J43" s="129">
        <f>VLOOKUP($A$1,Age_demandeur!$B:$AF,7,0)</f>
        <v>75</v>
      </c>
      <c r="K43" s="128">
        <f t="shared" si="14"/>
        <v>0.14285714285714285</v>
      </c>
      <c r="L43" s="116"/>
      <c r="M43" s="126"/>
      <c r="N43" s="135"/>
      <c r="O43" s="142"/>
    </row>
    <row r="44" spans="1:19" s="114" customFormat="1" ht="15.75" customHeight="1" x14ac:dyDescent="0.2">
      <c r="A44" s="126" t="s">
        <v>9</v>
      </c>
      <c r="B44" s="129">
        <f>VLOOKUP($A$1,Ancienneté!$B:$AF,9,0)</f>
        <v>33</v>
      </c>
      <c r="C44" s="165">
        <f t="shared" si="12"/>
        <v>6.2857142857142861E-2</v>
      </c>
      <c r="D44" s="116"/>
      <c r="E44" s="126" t="s">
        <v>37</v>
      </c>
      <c r="F44" s="129">
        <f>VLOOKUP($A$1,Taille_menage!$B:$AF,8,0)</f>
        <v>34</v>
      </c>
      <c r="G44" s="128">
        <f t="shared" si="13"/>
        <v>6.4761904761904757E-2</v>
      </c>
      <c r="H44" s="116"/>
      <c r="I44" s="126" t="s">
        <v>234</v>
      </c>
      <c r="J44" s="129">
        <f>VLOOKUP($A$1,Age_demandeur!$B:$AF,8,0)</f>
        <v>80</v>
      </c>
      <c r="K44" s="128">
        <f t="shared" si="14"/>
        <v>0.15238095238095239</v>
      </c>
      <c r="L44" s="116"/>
      <c r="M44" s="151"/>
      <c r="N44" s="149">
        <f>SUM(N23:N42)</f>
        <v>525</v>
      </c>
      <c r="O44" s="145">
        <f>SUM(O23:O42)</f>
        <v>1</v>
      </c>
    </row>
    <row r="45" spans="1:19" s="114" customFormat="1" x14ac:dyDescent="0.2">
      <c r="A45" s="126" t="s">
        <v>10</v>
      </c>
      <c r="B45" s="129">
        <f>VLOOKUP($A$1,Ancienneté!$B:$AF,10,0)</f>
        <v>3</v>
      </c>
      <c r="C45" s="165">
        <f t="shared" si="12"/>
        <v>5.7142857142857143E-3</v>
      </c>
      <c r="D45" s="116"/>
      <c r="E45" s="126" t="s">
        <v>38</v>
      </c>
      <c r="F45" s="129">
        <f>VLOOKUP($A$1,Taille_menage!$B:$AF,9,0)</f>
        <v>8</v>
      </c>
      <c r="G45" s="128">
        <f t="shared" si="13"/>
        <v>1.5238095238095238E-2</v>
      </c>
      <c r="H45" s="116"/>
      <c r="I45" s="126" t="s">
        <v>18</v>
      </c>
      <c r="J45" s="129">
        <f>VLOOKUP($A$1,Age_demandeur!$B:$AF,9,0)</f>
        <v>59</v>
      </c>
      <c r="K45" s="128">
        <f t="shared" si="14"/>
        <v>0.11238095238095239</v>
      </c>
      <c r="L45" s="116"/>
      <c r="M45" s="116"/>
      <c r="N45" s="116"/>
      <c r="O45" s="116"/>
      <c r="P45" s="116"/>
    </row>
    <row r="46" spans="1:19" s="114" customFormat="1" ht="18.75" x14ac:dyDescent="0.3">
      <c r="A46" s="126"/>
      <c r="B46" s="166"/>
      <c r="C46" s="167"/>
      <c r="D46" s="116"/>
      <c r="E46" s="126" t="s">
        <v>39</v>
      </c>
      <c r="F46" s="129">
        <f>VLOOKUP($A$1,Taille_menage!$B:$AF,10,0)</f>
        <v>5</v>
      </c>
      <c r="G46" s="128">
        <f t="shared" si="13"/>
        <v>9.5238095238095247E-3</v>
      </c>
      <c r="H46" s="116"/>
      <c r="I46" s="126" t="s">
        <v>235</v>
      </c>
      <c r="J46" s="129">
        <f>VLOOKUP($A$1,Age_demandeur!$B:$AF,10,0)</f>
        <v>52</v>
      </c>
      <c r="K46" s="128">
        <f t="shared" si="14"/>
        <v>9.9047619047619051E-2</v>
      </c>
      <c r="L46" s="116"/>
      <c r="M46" s="117" t="s">
        <v>236</v>
      </c>
      <c r="N46" s="118"/>
      <c r="O46" s="119"/>
      <c r="P46" s="116"/>
    </row>
    <row r="47" spans="1:19" s="114" customFormat="1" x14ac:dyDescent="0.2">
      <c r="A47" s="168" t="s">
        <v>237</v>
      </c>
      <c r="B47" s="169">
        <f>VLOOKUP($A$1,Ancienneté!$B:$AF,3,0)</f>
        <v>19.819600251749439</v>
      </c>
      <c r="C47" s="170"/>
      <c r="D47" s="116"/>
      <c r="E47" s="126" t="s">
        <v>238</v>
      </c>
      <c r="F47" s="129">
        <f>VLOOKUP($A$1,Taille_menage!$B:$AF,11,0)</f>
        <v>6</v>
      </c>
      <c r="G47" s="128">
        <f t="shared" si="13"/>
        <v>1.1428571428571429E-2</v>
      </c>
      <c r="H47" s="116"/>
      <c r="I47" s="126" t="s">
        <v>239</v>
      </c>
      <c r="J47" s="129">
        <f>VLOOKUP($A$1,Age_demandeur!$B:$AF,11,0)</f>
        <v>46</v>
      </c>
      <c r="K47" s="128">
        <f t="shared" si="14"/>
        <v>8.7619047619047624E-2</v>
      </c>
      <c r="L47" s="116"/>
      <c r="M47" s="120"/>
      <c r="N47" s="121"/>
      <c r="O47" s="122"/>
      <c r="P47" s="116"/>
    </row>
    <row r="48" spans="1:19" s="114" customFormat="1" ht="15" x14ac:dyDescent="0.25">
      <c r="A48" s="151"/>
      <c r="B48" s="144">
        <f>SUM(B38:B45)</f>
        <v>525</v>
      </c>
      <c r="C48" s="145">
        <f>SUM(C38:C45)</f>
        <v>1</v>
      </c>
      <c r="D48" s="116"/>
      <c r="E48" s="126"/>
      <c r="F48" s="135"/>
      <c r="G48" s="157"/>
      <c r="H48" s="116"/>
      <c r="I48" s="126" t="s">
        <v>240</v>
      </c>
      <c r="J48" s="129">
        <f>VLOOKUP($A$1,Age_demandeur!$B:$AF,12,0)</f>
        <v>34</v>
      </c>
      <c r="K48" s="128">
        <f t="shared" si="14"/>
        <v>6.4761904761904757E-2</v>
      </c>
      <c r="L48" s="116"/>
      <c r="M48" s="120" t="s">
        <v>241</v>
      </c>
      <c r="N48" s="129">
        <f>VLOOKUP($A$1,PosPlaf_HLM!$B:$AF,3,0)</f>
        <v>397</v>
      </c>
      <c r="O48" s="171">
        <f>N48/$N$54</f>
        <v>0.75619047619047619</v>
      </c>
      <c r="P48" s="116"/>
    </row>
    <row r="49" spans="1:16" s="114" customFormat="1" ht="15" x14ac:dyDescent="0.25">
      <c r="D49" s="116"/>
      <c r="E49" s="159" t="s">
        <v>242</v>
      </c>
      <c r="F49" s="172">
        <f>VLOOKUP($A$1,Taille_menage!$B:$AF,3,0)</f>
        <v>2.3790476190476189</v>
      </c>
      <c r="G49" s="173"/>
      <c r="H49" s="116"/>
      <c r="I49" s="126" t="s">
        <v>243</v>
      </c>
      <c r="J49" s="129">
        <f>VLOOKUP($A$1,Age_demandeur!$B:$AF,13,0)</f>
        <v>43</v>
      </c>
      <c r="K49" s="128">
        <f t="shared" si="14"/>
        <v>8.1904761904761911E-2</v>
      </c>
      <c r="L49" s="116"/>
      <c r="M49" s="120" t="s">
        <v>244</v>
      </c>
      <c r="N49" s="129">
        <f>VLOOKUP($A$1,PosPlaf_HLM!$B:$AF,4,0)</f>
        <v>92</v>
      </c>
      <c r="O49" s="171">
        <f>N49/$N$54</f>
        <v>0.17523809523809525</v>
      </c>
      <c r="P49" s="116"/>
    </row>
    <row r="50" spans="1:16" s="114" customFormat="1" ht="15" x14ac:dyDescent="0.25">
      <c r="A50" s="116"/>
      <c r="B50" s="116"/>
      <c r="C50" s="116"/>
      <c r="D50" s="116"/>
      <c r="E50" s="151"/>
      <c r="F50" s="144">
        <f>SUM(F40:F47)</f>
        <v>525</v>
      </c>
      <c r="G50" s="145">
        <f>SUM(G40:G47)</f>
        <v>1</v>
      </c>
      <c r="H50" s="116"/>
      <c r="I50" s="126" t="s">
        <v>245</v>
      </c>
      <c r="J50" s="129">
        <f>VLOOKUP($A$1,Age_demandeur!$B:$AF,14,0)</f>
        <v>18</v>
      </c>
      <c r="K50" s="128">
        <f t="shared" si="14"/>
        <v>3.4285714285714287E-2</v>
      </c>
      <c r="L50" s="116"/>
      <c r="M50" s="120" t="s">
        <v>246</v>
      </c>
      <c r="N50" s="129">
        <f>VLOOKUP($A$1,PosPlaf_HLM!$B:$AF,5,0)</f>
        <v>11</v>
      </c>
      <c r="O50" s="174">
        <f>N50/$N$54</f>
        <v>2.0952380952380951E-2</v>
      </c>
      <c r="P50" s="116"/>
    </row>
    <row r="51" spans="1:16" s="114" customFormat="1" ht="15" x14ac:dyDescent="0.25">
      <c r="A51" s="116"/>
      <c r="B51" s="116"/>
      <c r="C51" s="116"/>
      <c r="D51" s="116"/>
      <c r="H51" s="116"/>
      <c r="I51" s="126" t="s">
        <v>247</v>
      </c>
      <c r="J51" s="129">
        <f>VLOOKUP($A$1,Age_demandeur!$B:$AF,15,0)</f>
        <v>24</v>
      </c>
      <c r="K51" s="128">
        <f t="shared" si="14"/>
        <v>4.5714285714285714E-2</v>
      </c>
      <c r="L51" s="116"/>
      <c r="M51" s="120" t="s">
        <v>248</v>
      </c>
      <c r="N51" s="129">
        <f>VLOOKUP($A$1,PosPlaf_HLM!$B:$AF,6,0)</f>
        <v>7</v>
      </c>
      <c r="O51" s="174">
        <f>N51/$N$54</f>
        <v>1.3333333333333334E-2</v>
      </c>
      <c r="P51" s="116"/>
    </row>
    <row r="52" spans="1:16" s="114" customFormat="1" ht="15" x14ac:dyDescent="0.25">
      <c r="I52" s="126" t="s">
        <v>25</v>
      </c>
      <c r="J52" s="129">
        <f>VLOOKUP($A$1,Age_demandeur!$B:$AF,16,0)</f>
        <v>15</v>
      </c>
      <c r="K52" s="128">
        <f t="shared" si="14"/>
        <v>2.8571428571428571E-2</v>
      </c>
      <c r="M52" s="120" t="s">
        <v>201</v>
      </c>
      <c r="N52" s="129">
        <f>VLOOKUP($A$1,PosPlaf_HLM!$B:$AF,7,0)</f>
        <v>18</v>
      </c>
      <c r="O52" s="174">
        <f>N52/$N$54</f>
        <v>3.4285714285714287E-2</v>
      </c>
    </row>
    <row r="53" spans="1:16" s="114" customFormat="1" ht="15" x14ac:dyDescent="0.25">
      <c r="I53" s="126" t="s">
        <v>201</v>
      </c>
      <c r="J53" s="129">
        <v>0</v>
      </c>
      <c r="K53" s="128">
        <f t="shared" si="14"/>
        <v>0</v>
      </c>
      <c r="M53" s="120"/>
      <c r="N53" s="175"/>
      <c r="O53" s="174"/>
    </row>
    <row r="54" spans="1:16" s="114" customFormat="1" ht="15" x14ac:dyDescent="0.25">
      <c r="I54" s="126"/>
      <c r="J54" s="135"/>
      <c r="K54" s="157"/>
      <c r="M54" s="176"/>
      <c r="N54" s="177">
        <f>SUM(N48:N52)</f>
        <v>525</v>
      </c>
      <c r="O54" s="178">
        <f>SUM(O48:O52)</f>
        <v>1</v>
      </c>
    </row>
    <row r="55" spans="1:16" s="114" customFormat="1" x14ac:dyDescent="0.2">
      <c r="I55" s="159" t="s">
        <v>249</v>
      </c>
      <c r="J55" s="179">
        <f>VLOOKUP($A$1,Age_demandeur!$B:$AF,3,0)</f>
        <v>44.392380952380954</v>
      </c>
      <c r="K55" s="180"/>
    </row>
    <row r="56" spans="1:16" s="114" customFormat="1" x14ac:dyDescent="0.2">
      <c r="I56" s="151"/>
      <c r="J56" s="144">
        <f>SUM(J40:J53)</f>
        <v>525</v>
      </c>
      <c r="K56" s="145">
        <f>SUM(K40:K53)</f>
        <v>1</v>
      </c>
    </row>
  </sheetData>
  <sheetProtection sheet="1" objects="1" scenarios="1"/>
  <mergeCells count="25">
    <mergeCell ref="E19:G19"/>
    <mergeCell ref="I19:K19"/>
    <mergeCell ref="A1:U1"/>
    <mergeCell ref="A2:K2"/>
    <mergeCell ref="M2:U2"/>
    <mergeCell ref="A3:K3"/>
    <mergeCell ref="M3:U3"/>
    <mergeCell ref="A4:K4"/>
    <mergeCell ref="M4:U4"/>
    <mergeCell ref="A5:C5"/>
    <mergeCell ref="E5:G5"/>
    <mergeCell ref="I5:K5"/>
    <mergeCell ref="M5:U5"/>
    <mergeCell ref="N7:T7"/>
    <mergeCell ref="Q21:S21"/>
    <mergeCell ref="Q32:S32"/>
    <mergeCell ref="A37:C37"/>
    <mergeCell ref="E38:G38"/>
    <mergeCell ref="I38:K38"/>
    <mergeCell ref="M21:O21"/>
    <mergeCell ref="M46:O46"/>
    <mergeCell ref="B47:C47"/>
    <mergeCell ref="F49:G49"/>
    <mergeCell ref="J55:K55"/>
    <mergeCell ref="J35:K3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RevenuMens_menage!$B$2:$B$18</xm:f>
          </x14:formula1>
          <xm:sqref>A1:U1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13" width="15.42578125" customWidth="1"/>
  </cols>
  <sheetData>
    <row r="1" spans="1:13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71</v>
      </c>
      <c r="E1" s="2" t="s">
        <v>72</v>
      </c>
      <c r="F1" s="2" t="s">
        <v>73</v>
      </c>
      <c r="G1" s="2" t="s">
        <v>11</v>
      </c>
      <c r="H1" s="2" t="s">
        <v>74</v>
      </c>
      <c r="I1" s="2" t="s">
        <v>31</v>
      </c>
      <c r="J1" s="2" t="s">
        <v>75</v>
      </c>
      <c r="K1" s="2" t="s">
        <v>27</v>
      </c>
      <c r="L1" s="2" t="s">
        <v>76</v>
      </c>
      <c r="M1" s="2" t="s">
        <v>77</v>
      </c>
    </row>
    <row r="2" spans="1:13" s="1" customFormat="1" ht="14.1" customHeight="1" x14ac:dyDescent="0.2">
      <c r="A2" s="1">
        <v>200017341</v>
      </c>
      <c r="B2" s="17" t="s">
        <v>166</v>
      </c>
      <c r="C2" s="25">
        <v>168</v>
      </c>
      <c r="D2" s="25">
        <v>63</v>
      </c>
      <c r="E2" s="25">
        <v>7</v>
      </c>
      <c r="F2" s="25">
        <v>19</v>
      </c>
      <c r="G2" s="25"/>
      <c r="H2" s="25">
        <v>52</v>
      </c>
      <c r="I2" s="25"/>
      <c r="J2" s="25">
        <v>2</v>
      </c>
      <c r="K2" s="25"/>
      <c r="L2" s="25">
        <v>21</v>
      </c>
      <c r="M2" s="25">
        <v>4</v>
      </c>
    </row>
    <row r="3" spans="1:13" s="1" customFormat="1" ht="18.2" customHeight="1" x14ac:dyDescent="0.2">
      <c r="A3" s="1">
        <v>200022986</v>
      </c>
      <c r="B3" s="7" t="s">
        <v>167</v>
      </c>
      <c r="C3" s="26">
        <v>603</v>
      </c>
      <c r="D3" s="26">
        <v>259</v>
      </c>
      <c r="E3" s="26">
        <v>69</v>
      </c>
      <c r="F3" s="25">
        <v>59</v>
      </c>
      <c r="G3" s="25"/>
      <c r="H3" s="25">
        <v>83</v>
      </c>
      <c r="I3" s="25"/>
      <c r="J3" s="25">
        <v>13</v>
      </c>
      <c r="K3" s="25"/>
      <c r="L3" s="25">
        <v>103</v>
      </c>
      <c r="M3" s="25">
        <v>17</v>
      </c>
    </row>
    <row r="4" spans="1:13" s="1" customFormat="1" ht="22.7" customHeight="1" x14ac:dyDescent="0.2">
      <c r="A4" s="13">
        <v>200042646</v>
      </c>
      <c r="B4" s="22" t="s">
        <v>168</v>
      </c>
      <c r="C4" s="4">
        <v>200</v>
      </c>
      <c r="D4" s="4">
        <v>105</v>
      </c>
      <c r="E4" s="4">
        <v>16</v>
      </c>
      <c r="F4" s="4">
        <v>28</v>
      </c>
      <c r="G4" s="4"/>
      <c r="H4" s="4">
        <v>15</v>
      </c>
      <c r="I4" s="4"/>
      <c r="J4" s="4">
        <v>2</v>
      </c>
      <c r="K4" s="4"/>
      <c r="L4" s="4">
        <v>21</v>
      </c>
      <c r="M4" s="4">
        <v>13</v>
      </c>
    </row>
    <row r="5" spans="1:13" s="1" customFormat="1" ht="14.1" customHeight="1" x14ac:dyDescent="0.2">
      <c r="A5" s="8">
        <v>200042653</v>
      </c>
      <c r="B5" s="16" t="s">
        <v>169</v>
      </c>
      <c r="C5" s="23">
        <v>122</v>
      </c>
      <c r="D5" s="23">
        <v>62</v>
      </c>
      <c r="E5" s="23">
        <v>13</v>
      </c>
      <c r="F5" s="23">
        <v>10</v>
      </c>
      <c r="G5" s="23"/>
      <c r="H5" s="23">
        <v>12</v>
      </c>
      <c r="I5" s="23"/>
      <c r="J5" s="23">
        <v>3</v>
      </c>
      <c r="K5" s="23"/>
      <c r="L5" s="23">
        <v>20</v>
      </c>
      <c r="M5" s="23">
        <v>2</v>
      </c>
    </row>
    <row r="6" spans="1:13" s="1" customFormat="1" ht="14.1" customHeight="1" x14ac:dyDescent="0.2">
      <c r="A6" s="8">
        <v>200066348</v>
      </c>
      <c r="B6" s="16" t="s">
        <v>171</v>
      </c>
      <c r="C6" s="23">
        <v>57</v>
      </c>
      <c r="D6" s="23">
        <v>33</v>
      </c>
      <c r="E6" s="23">
        <v>2</v>
      </c>
      <c r="F6" s="23">
        <v>5</v>
      </c>
      <c r="G6" s="23"/>
      <c r="H6" s="23">
        <v>7</v>
      </c>
      <c r="I6" s="23"/>
      <c r="J6" s="23"/>
      <c r="K6" s="23"/>
      <c r="L6" s="23">
        <v>8</v>
      </c>
      <c r="M6" s="23">
        <v>2</v>
      </c>
    </row>
    <row r="7" spans="1:13" s="1" customFormat="1" ht="14.1" customHeight="1" x14ac:dyDescent="0.2">
      <c r="A7" s="8">
        <v>200066355</v>
      </c>
      <c r="B7" s="16" t="s">
        <v>170</v>
      </c>
      <c r="C7" s="23">
        <v>4708</v>
      </c>
      <c r="D7" s="23">
        <v>2266</v>
      </c>
      <c r="E7" s="23">
        <v>350</v>
      </c>
      <c r="F7" s="23">
        <v>461</v>
      </c>
      <c r="G7" s="23"/>
      <c r="H7" s="23">
        <v>924</v>
      </c>
      <c r="I7" s="23">
        <v>10</v>
      </c>
      <c r="J7" s="23">
        <v>54</v>
      </c>
      <c r="K7" s="23"/>
      <c r="L7" s="23">
        <v>514</v>
      </c>
      <c r="M7" s="23">
        <v>129</v>
      </c>
    </row>
    <row r="8" spans="1:13" s="1" customFormat="1" ht="14.1" customHeight="1" x14ac:dyDescent="0.2">
      <c r="A8" s="8">
        <v>200066553</v>
      </c>
      <c r="B8" s="16" t="s">
        <v>172</v>
      </c>
      <c r="C8" s="23">
        <v>18</v>
      </c>
      <c r="D8" s="23">
        <v>8</v>
      </c>
      <c r="E8" s="23"/>
      <c r="F8" s="23">
        <v>2</v>
      </c>
      <c r="G8" s="23"/>
      <c r="H8" s="23">
        <v>2</v>
      </c>
      <c r="I8" s="23"/>
      <c r="J8" s="23"/>
      <c r="K8" s="23"/>
      <c r="L8" s="23">
        <v>4</v>
      </c>
      <c r="M8" s="23">
        <v>2</v>
      </c>
    </row>
    <row r="9" spans="1:13" s="1" customFormat="1" ht="14.1" customHeight="1" x14ac:dyDescent="0.2">
      <c r="A9" s="8">
        <v>200071058</v>
      </c>
      <c r="B9" s="16" t="s">
        <v>173</v>
      </c>
      <c r="C9" s="23">
        <v>215</v>
      </c>
      <c r="D9" s="23">
        <v>107</v>
      </c>
      <c r="E9" s="23">
        <v>18</v>
      </c>
      <c r="F9" s="23">
        <v>22</v>
      </c>
      <c r="G9" s="23"/>
      <c r="H9" s="23">
        <v>33</v>
      </c>
      <c r="I9" s="23"/>
      <c r="J9" s="23">
        <v>3</v>
      </c>
      <c r="K9" s="23"/>
      <c r="L9" s="23">
        <v>25</v>
      </c>
      <c r="M9" s="23">
        <v>7</v>
      </c>
    </row>
    <row r="10" spans="1:13" s="1" customFormat="1" ht="14.1" customHeight="1" x14ac:dyDescent="0.2">
      <c r="A10" s="8">
        <v>243400017</v>
      </c>
      <c r="B10" s="16" t="s">
        <v>174</v>
      </c>
      <c r="C10" s="23">
        <v>25746</v>
      </c>
      <c r="D10" s="23">
        <v>12397</v>
      </c>
      <c r="E10" s="23">
        <v>1536</v>
      </c>
      <c r="F10" s="23">
        <v>1820</v>
      </c>
      <c r="G10" s="23"/>
      <c r="H10" s="23">
        <v>7134</v>
      </c>
      <c r="I10" s="23">
        <v>37</v>
      </c>
      <c r="J10" s="23">
        <v>236</v>
      </c>
      <c r="K10" s="23"/>
      <c r="L10" s="23">
        <v>2216</v>
      </c>
      <c r="M10" s="23">
        <v>370</v>
      </c>
    </row>
    <row r="11" spans="1:13" s="1" customFormat="1" ht="14.1" customHeight="1" x14ac:dyDescent="0.2">
      <c r="A11" s="8">
        <v>243400355</v>
      </c>
      <c r="B11" s="16" t="s">
        <v>175</v>
      </c>
      <c r="C11" s="23">
        <v>562</v>
      </c>
      <c r="D11" s="23">
        <v>290</v>
      </c>
      <c r="E11" s="23">
        <v>46</v>
      </c>
      <c r="F11" s="23">
        <v>56</v>
      </c>
      <c r="G11" s="23"/>
      <c r="H11" s="23">
        <v>79</v>
      </c>
      <c r="I11" s="23"/>
      <c r="J11" s="23">
        <v>7</v>
      </c>
      <c r="K11" s="23"/>
      <c r="L11" s="23">
        <v>72</v>
      </c>
      <c r="M11" s="23">
        <v>12</v>
      </c>
    </row>
    <row r="12" spans="1:13" s="1" customFormat="1" ht="14.1" customHeight="1" x14ac:dyDescent="0.2">
      <c r="A12" s="10">
        <v>243400470</v>
      </c>
      <c r="B12" s="19" t="s">
        <v>176</v>
      </c>
      <c r="C12" s="24">
        <v>1482</v>
      </c>
      <c r="D12" s="24">
        <v>793</v>
      </c>
      <c r="E12" s="24">
        <v>101</v>
      </c>
      <c r="F12" s="24">
        <v>155</v>
      </c>
      <c r="G12" s="24"/>
      <c r="H12" s="24">
        <v>198</v>
      </c>
      <c r="I12" s="24">
        <v>2</v>
      </c>
      <c r="J12" s="24">
        <v>22</v>
      </c>
      <c r="K12" s="24"/>
      <c r="L12" s="24">
        <v>181</v>
      </c>
      <c r="M12" s="24">
        <v>30</v>
      </c>
    </row>
    <row r="13" spans="1:13" s="1" customFormat="1" ht="14.1" customHeight="1" x14ac:dyDescent="0.2">
      <c r="A13" s="10">
        <v>243400488</v>
      </c>
      <c r="B13" s="19" t="s">
        <v>177</v>
      </c>
      <c r="C13" s="24">
        <v>436</v>
      </c>
      <c r="D13" s="24">
        <v>221</v>
      </c>
      <c r="E13" s="24">
        <v>37</v>
      </c>
      <c r="F13" s="24">
        <v>35</v>
      </c>
      <c r="G13" s="24"/>
      <c r="H13" s="24">
        <v>59</v>
      </c>
      <c r="I13" s="24"/>
      <c r="J13" s="24">
        <v>8</v>
      </c>
      <c r="K13" s="24"/>
      <c r="L13" s="24">
        <v>64</v>
      </c>
      <c r="M13" s="24">
        <v>12</v>
      </c>
    </row>
    <row r="14" spans="1:13" s="1" customFormat="1" ht="14.1" customHeight="1" x14ac:dyDescent="0.2">
      <c r="A14" s="1">
        <v>243400520</v>
      </c>
      <c r="B14" s="7" t="s">
        <v>184</v>
      </c>
      <c r="C14" s="4">
        <v>1429</v>
      </c>
      <c r="D14" s="4">
        <v>559</v>
      </c>
      <c r="E14" s="4">
        <v>107</v>
      </c>
      <c r="F14" s="4">
        <v>115</v>
      </c>
      <c r="G14" s="4"/>
      <c r="H14" s="4">
        <v>450</v>
      </c>
      <c r="I14" s="4"/>
      <c r="J14" s="4">
        <v>7</v>
      </c>
      <c r="K14" s="4"/>
      <c r="L14" s="4">
        <v>168</v>
      </c>
      <c r="M14" s="4">
        <v>23</v>
      </c>
    </row>
    <row r="15" spans="1:13" s="1" customFormat="1" ht="14.1" customHeight="1" x14ac:dyDescent="0.2">
      <c r="A15" s="1">
        <v>243400694</v>
      </c>
      <c r="B15" s="17" t="s">
        <v>182</v>
      </c>
      <c r="C15" s="25">
        <v>525</v>
      </c>
      <c r="D15" s="25">
        <v>243</v>
      </c>
      <c r="E15" s="25">
        <v>52</v>
      </c>
      <c r="F15" s="25">
        <v>50</v>
      </c>
      <c r="G15" s="25"/>
      <c r="H15" s="25">
        <v>93</v>
      </c>
      <c r="I15" s="25"/>
      <c r="J15" s="25">
        <v>4</v>
      </c>
      <c r="K15" s="25"/>
      <c r="L15" s="25">
        <v>70</v>
      </c>
      <c r="M15" s="25">
        <v>13</v>
      </c>
    </row>
    <row r="16" spans="1:13" s="1" customFormat="1" ht="18.2" customHeight="1" x14ac:dyDescent="0.2">
      <c r="A16" s="1">
        <v>243400736</v>
      </c>
      <c r="B16" s="7" t="s">
        <v>183</v>
      </c>
      <c r="C16" s="26">
        <v>160</v>
      </c>
      <c r="D16" s="26">
        <v>79</v>
      </c>
      <c r="E16" s="26">
        <v>13</v>
      </c>
      <c r="F16" s="25">
        <v>14</v>
      </c>
      <c r="G16" s="25"/>
      <c r="H16" s="25">
        <v>26</v>
      </c>
      <c r="I16" s="25"/>
      <c r="J16" s="25"/>
      <c r="K16" s="25"/>
      <c r="L16" s="25">
        <v>23</v>
      </c>
      <c r="M16" s="25">
        <v>5</v>
      </c>
    </row>
    <row r="17" spans="1:13" s="1" customFormat="1" ht="22.7" customHeight="1" x14ac:dyDescent="0.2">
      <c r="A17" s="36" t="s">
        <v>181</v>
      </c>
      <c r="B17" s="22" t="s">
        <v>180</v>
      </c>
      <c r="C17" s="4">
        <v>4537</v>
      </c>
      <c r="D17" s="4">
        <v>1984</v>
      </c>
      <c r="E17" s="4">
        <v>340</v>
      </c>
      <c r="F17" s="4">
        <v>448</v>
      </c>
      <c r="G17" s="4"/>
      <c r="H17" s="4">
        <v>1181</v>
      </c>
      <c r="I17" s="4">
        <v>5</v>
      </c>
      <c r="J17" s="4">
        <v>34</v>
      </c>
      <c r="K17" s="4"/>
      <c r="L17" s="4">
        <v>420</v>
      </c>
      <c r="M17" s="4">
        <v>125</v>
      </c>
    </row>
    <row r="18" spans="1:13" s="1" customFormat="1" ht="14.1" customHeight="1" x14ac:dyDescent="0.2">
      <c r="A18" s="35" t="s">
        <v>179</v>
      </c>
      <c r="B18" s="16" t="s">
        <v>178</v>
      </c>
      <c r="C18" s="23">
        <v>2006</v>
      </c>
      <c r="D18" s="23">
        <v>949</v>
      </c>
      <c r="E18" s="23">
        <v>174</v>
      </c>
      <c r="F18" s="23">
        <v>201</v>
      </c>
      <c r="G18" s="23"/>
      <c r="H18" s="23">
        <v>379</v>
      </c>
      <c r="I18" s="23">
        <v>2</v>
      </c>
      <c r="J18" s="23">
        <v>21</v>
      </c>
      <c r="K18" s="23"/>
      <c r="L18" s="23">
        <v>220</v>
      </c>
      <c r="M18" s="23">
        <v>60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5" width="10.140625" customWidth="1"/>
    <col min="6" max="6" width="10" customWidth="1"/>
    <col min="7" max="7" width="10.140625" customWidth="1"/>
    <col min="8" max="8" width="10" customWidth="1"/>
    <col min="9" max="13" width="10.140625" customWidth="1"/>
    <col min="14" max="14" width="10" customWidth="1"/>
    <col min="15" max="19" width="10.140625" customWidth="1"/>
  </cols>
  <sheetData>
    <row r="1" spans="1:19" s="1" customFormat="1" ht="14.1" customHeight="1" x14ac:dyDescent="0.2">
      <c r="A1" s="9" t="s">
        <v>0</v>
      </c>
      <c r="B1" s="18" t="s">
        <v>1</v>
      </c>
      <c r="C1" s="2" t="s">
        <v>2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I1" s="2" t="s">
        <v>46</v>
      </c>
      <c r="J1" s="2" t="s">
        <v>47</v>
      </c>
      <c r="K1" s="2" t="s">
        <v>48</v>
      </c>
      <c r="L1" s="2" t="s">
        <v>49</v>
      </c>
      <c r="M1" s="2" t="s">
        <v>50</v>
      </c>
      <c r="N1" s="2" t="s">
        <v>51</v>
      </c>
      <c r="O1" s="2" t="s">
        <v>52</v>
      </c>
      <c r="P1" s="2" t="s">
        <v>53</v>
      </c>
      <c r="Q1" s="2" t="s">
        <v>54</v>
      </c>
      <c r="R1" s="2" t="s">
        <v>55</v>
      </c>
      <c r="S1" s="2" t="s">
        <v>27</v>
      </c>
    </row>
    <row r="2" spans="1:19" s="1" customFormat="1" ht="14.1" customHeight="1" x14ac:dyDescent="0.2">
      <c r="A2" s="15" t="s">
        <v>179</v>
      </c>
      <c r="B2" s="17" t="s">
        <v>178</v>
      </c>
      <c r="C2" s="25">
        <v>2006</v>
      </c>
      <c r="D2" s="25">
        <v>218</v>
      </c>
      <c r="E2" s="25">
        <v>129</v>
      </c>
      <c r="F2" s="25">
        <v>119</v>
      </c>
      <c r="G2" s="25">
        <v>79</v>
      </c>
      <c r="H2" s="25">
        <v>45</v>
      </c>
      <c r="I2" s="25">
        <v>15</v>
      </c>
      <c r="J2" s="25">
        <v>11</v>
      </c>
      <c r="K2" s="25">
        <v>834</v>
      </c>
      <c r="L2" s="25">
        <v>266</v>
      </c>
      <c r="M2" s="25">
        <v>174</v>
      </c>
      <c r="N2" s="25">
        <v>75</v>
      </c>
      <c r="O2" s="25">
        <v>31</v>
      </c>
      <c r="P2" s="25">
        <v>4</v>
      </c>
      <c r="Q2" s="25">
        <v>6</v>
      </c>
      <c r="R2" s="25"/>
      <c r="S2" s="25"/>
    </row>
    <row r="3" spans="1:19" s="1" customFormat="1" ht="18.2" customHeight="1" x14ac:dyDescent="0.2">
      <c r="A3" s="15" t="s">
        <v>181</v>
      </c>
      <c r="B3" s="7" t="s">
        <v>180</v>
      </c>
      <c r="C3" s="26">
        <v>4537</v>
      </c>
      <c r="D3" s="26">
        <v>496</v>
      </c>
      <c r="E3" s="26">
        <v>278</v>
      </c>
      <c r="F3" s="26">
        <v>290</v>
      </c>
      <c r="G3" s="25">
        <v>268</v>
      </c>
      <c r="H3" s="25">
        <v>165</v>
      </c>
      <c r="I3" s="25">
        <v>56</v>
      </c>
      <c r="J3" s="25">
        <v>28</v>
      </c>
      <c r="K3" s="25">
        <v>1674</v>
      </c>
      <c r="L3" s="25">
        <v>535</v>
      </c>
      <c r="M3" s="25">
        <v>411</v>
      </c>
      <c r="N3" s="25">
        <v>206</v>
      </c>
      <c r="O3" s="25">
        <v>94</v>
      </c>
      <c r="P3" s="25">
        <v>26</v>
      </c>
      <c r="Q3" s="25">
        <v>10</v>
      </c>
      <c r="R3" s="25"/>
      <c r="S3" s="25"/>
    </row>
    <row r="4" spans="1:19" s="1" customFormat="1" ht="22.7" customHeight="1" x14ac:dyDescent="0.2">
      <c r="A4" s="13">
        <v>243400736</v>
      </c>
      <c r="B4" s="22" t="s">
        <v>183</v>
      </c>
      <c r="C4" s="4">
        <v>160</v>
      </c>
      <c r="D4" s="4">
        <v>15</v>
      </c>
      <c r="E4" s="4">
        <v>5</v>
      </c>
      <c r="F4" s="4">
        <v>9</v>
      </c>
      <c r="G4" s="4">
        <v>6</v>
      </c>
      <c r="H4" s="4">
        <v>2</v>
      </c>
      <c r="I4" s="4">
        <v>1</v>
      </c>
      <c r="J4" s="4">
        <v>1</v>
      </c>
      <c r="K4" s="4">
        <v>75</v>
      </c>
      <c r="L4" s="4">
        <v>24</v>
      </c>
      <c r="M4" s="4">
        <v>12</v>
      </c>
      <c r="N4" s="4">
        <v>6</v>
      </c>
      <c r="O4" s="4">
        <v>3</v>
      </c>
      <c r="P4" s="4">
        <v>1</v>
      </c>
      <c r="Q4" s="4"/>
      <c r="R4" s="4"/>
      <c r="S4" s="4"/>
    </row>
    <row r="5" spans="1:19" s="1" customFormat="1" ht="14.1" customHeight="1" x14ac:dyDescent="0.2">
      <c r="A5" s="8">
        <v>243400694</v>
      </c>
      <c r="B5" s="16" t="s">
        <v>182</v>
      </c>
      <c r="C5" s="23">
        <v>525</v>
      </c>
      <c r="D5" s="23">
        <v>52</v>
      </c>
      <c r="E5" s="23">
        <v>26</v>
      </c>
      <c r="F5" s="23">
        <v>38</v>
      </c>
      <c r="G5" s="23">
        <v>26</v>
      </c>
      <c r="H5" s="23">
        <v>8</v>
      </c>
      <c r="I5" s="23">
        <v>5</v>
      </c>
      <c r="J5" s="23">
        <v>5</v>
      </c>
      <c r="K5" s="23">
        <v>199</v>
      </c>
      <c r="L5" s="23">
        <v>79</v>
      </c>
      <c r="M5" s="23">
        <v>62</v>
      </c>
      <c r="N5" s="23">
        <v>18</v>
      </c>
      <c r="O5" s="23">
        <v>6</v>
      </c>
      <c r="P5" s="23"/>
      <c r="Q5" s="23">
        <v>1</v>
      </c>
      <c r="R5" s="23"/>
      <c r="S5" s="23"/>
    </row>
    <row r="6" spans="1:19" s="1" customFormat="1" ht="14.1" customHeight="1" x14ac:dyDescent="0.2">
      <c r="A6" s="8">
        <v>243400520</v>
      </c>
      <c r="B6" s="16" t="s">
        <v>184</v>
      </c>
      <c r="C6" s="23">
        <v>1429</v>
      </c>
      <c r="D6" s="23">
        <v>162</v>
      </c>
      <c r="E6" s="23">
        <v>85</v>
      </c>
      <c r="F6" s="23">
        <v>109</v>
      </c>
      <c r="G6" s="23">
        <v>135</v>
      </c>
      <c r="H6" s="23">
        <v>57</v>
      </c>
      <c r="I6" s="23">
        <v>11</v>
      </c>
      <c r="J6" s="23">
        <v>9</v>
      </c>
      <c r="K6" s="23">
        <v>481</v>
      </c>
      <c r="L6" s="23">
        <v>152</v>
      </c>
      <c r="M6" s="23">
        <v>137</v>
      </c>
      <c r="N6" s="23">
        <v>59</v>
      </c>
      <c r="O6" s="23">
        <v>26</v>
      </c>
      <c r="P6" s="23">
        <v>4</v>
      </c>
      <c r="Q6" s="23">
        <v>2</v>
      </c>
      <c r="R6" s="23"/>
      <c r="S6" s="23"/>
    </row>
    <row r="7" spans="1:19" s="1" customFormat="1" ht="14.1" customHeight="1" x14ac:dyDescent="0.2">
      <c r="A7" s="8">
        <v>243400488</v>
      </c>
      <c r="B7" s="16" t="s">
        <v>177</v>
      </c>
      <c r="C7" s="23">
        <v>436</v>
      </c>
      <c r="D7" s="23">
        <v>48</v>
      </c>
      <c r="E7" s="23">
        <v>17</v>
      </c>
      <c r="F7" s="23">
        <v>30</v>
      </c>
      <c r="G7" s="23">
        <v>13</v>
      </c>
      <c r="H7" s="23">
        <v>4</v>
      </c>
      <c r="I7" s="23">
        <v>2</v>
      </c>
      <c r="J7" s="23">
        <v>1</v>
      </c>
      <c r="K7" s="23">
        <v>169</v>
      </c>
      <c r="L7" s="23">
        <v>79</v>
      </c>
      <c r="M7" s="23">
        <v>46</v>
      </c>
      <c r="N7" s="23">
        <v>19</v>
      </c>
      <c r="O7" s="23">
        <v>4</v>
      </c>
      <c r="P7" s="23">
        <v>3</v>
      </c>
      <c r="Q7" s="23">
        <v>1</v>
      </c>
      <c r="R7" s="23"/>
      <c r="S7" s="23"/>
    </row>
    <row r="8" spans="1:19" s="1" customFormat="1" ht="14.1" customHeight="1" x14ac:dyDescent="0.2">
      <c r="A8" s="8">
        <v>243400470</v>
      </c>
      <c r="B8" s="16" t="s">
        <v>176</v>
      </c>
      <c r="C8" s="23">
        <v>1482</v>
      </c>
      <c r="D8" s="23">
        <v>127</v>
      </c>
      <c r="E8" s="23">
        <v>82</v>
      </c>
      <c r="F8" s="23">
        <v>75</v>
      </c>
      <c r="G8" s="23">
        <v>45</v>
      </c>
      <c r="H8" s="23">
        <v>16</v>
      </c>
      <c r="I8" s="23">
        <v>1</v>
      </c>
      <c r="J8" s="23">
        <v>1</v>
      </c>
      <c r="K8" s="23">
        <v>712</v>
      </c>
      <c r="L8" s="23">
        <v>222</v>
      </c>
      <c r="M8" s="23">
        <v>153</v>
      </c>
      <c r="N8" s="23">
        <v>36</v>
      </c>
      <c r="O8" s="23">
        <v>7</v>
      </c>
      <c r="P8" s="23">
        <v>2</v>
      </c>
      <c r="Q8" s="23">
        <v>3</v>
      </c>
      <c r="R8" s="23"/>
      <c r="S8" s="23"/>
    </row>
    <row r="9" spans="1:19" s="1" customFormat="1" ht="14.1" customHeight="1" x14ac:dyDescent="0.2">
      <c r="A9" s="10">
        <v>243400355</v>
      </c>
      <c r="B9" s="19" t="s">
        <v>175</v>
      </c>
      <c r="C9" s="24">
        <v>562</v>
      </c>
      <c r="D9" s="24">
        <v>41</v>
      </c>
      <c r="E9" s="24">
        <v>28</v>
      </c>
      <c r="F9" s="24">
        <v>23</v>
      </c>
      <c r="G9" s="24">
        <v>25</v>
      </c>
      <c r="H9" s="24">
        <v>8</v>
      </c>
      <c r="I9" s="24">
        <v>5</v>
      </c>
      <c r="J9" s="24">
        <v>2</v>
      </c>
      <c r="K9" s="24">
        <v>259</v>
      </c>
      <c r="L9" s="24">
        <v>71</v>
      </c>
      <c r="M9" s="24">
        <v>66</v>
      </c>
      <c r="N9" s="24">
        <v>25</v>
      </c>
      <c r="O9" s="24">
        <v>8</v>
      </c>
      <c r="P9" s="24">
        <v>1</v>
      </c>
      <c r="Q9" s="24"/>
      <c r="R9" s="24"/>
      <c r="S9" s="24"/>
    </row>
    <row r="10" spans="1:19" s="1" customFormat="1" ht="14.1" customHeight="1" x14ac:dyDescent="0.2">
      <c r="A10" s="10">
        <v>243400017</v>
      </c>
      <c r="B10" s="19" t="s">
        <v>174</v>
      </c>
      <c r="C10" s="24">
        <v>25746</v>
      </c>
      <c r="D10" s="24">
        <v>2578</v>
      </c>
      <c r="E10" s="24">
        <v>1561</v>
      </c>
      <c r="F10" s="24">
        <v>1974</v>
      </c>
      <c r="G10" s="24">
        <v>1671</v>
      </c>
      <c r="H10" s="24">
        <v>865</v>
      </c>
      <c r="I10" s="24">
        <v>233</v>
      </c>
      <c r="J10" s="24">
        <v>176</v>
      </c>
      <c r="K10" s="24">
        <v>10850</v>
      </c>
      <c r="L10" s="24">
        <v>2693</v>
      </c>
      <c r="M10" s="24">
        <v>1787</v>
      </c>
      <c r="N10" s="24">
        <v>878</v>
      </c>
      <c r="O10" s="24">
        <v>340</v>
      </c>
      <c r="P10" s="24">
        <v>88</v>
      </c>
      <c r="Q10" s="24">
        <v>52</v>
      </c>
      <c r="R10" s="24"/>
      <c r="S10" s="24"/>
    </row>
    <row r="11" spans="1:19" s="1" customFormat="1" ht="14.1" customHeight="1" x14ac:dyDescent="0.2">
      <c r="A11" s="1">
        <v>200071058</v>
      </c>
      <c r="B11" s="7" t="s">
        <v>173</v>
      </c>
      <c r="C11" s="4">
        <v>215</v>
      </c>
      <c r="D11" s="4">
        <v>23</v>
      </c>
      <c r="E11" s="4">
        <v>8</v>
      </c>
      <c r="F11" s="4">
        <v>15</v>
      </c>
      <c r="G11" s="4">
        <v>6</v>
      </c>
      <c r="H11" s="4">
        <v>1</v>
      </c>
      <c r="I11" s="4"/>
      <c r="J11" s="4">
        <v>1</v>
      </c>
      <c r="K11" s="4">
        <v>99</v>
      </c>
      <c r="L11" s="4">
        <v>24</v>
      </c>
      <c r="M11" s="4">
        <v>20</v>
      </c>
      <c r="N11" s="4">
        <v>10</v>
      </c>
      <c r="O11" s="4">
        <v>7</v>
      </c>
      <c r="P11" s="4"/>
      <c r="Q11" s="4">
        <v>1</v>
      </c>
      <c r="R11" s="4"/>
      <c r="S11" s="4"/>
    </row>
    <row r="12" spans="1:19" s="1" customFormat="1" ht="14.1" customHeight="1" x14ac:dyDescent="0.2">
      <c r="A12" s="1">
        <v>200066553</v>
      </c>
      <c r="B12" s="17" t="s">
        <v>172</v>
      </c>
      <c r="C12" s="25">
        <v>18</v>
      </c>
      <c r="D12" s="25">
        <v>1</v>
      </c>
      <c r="E12" s="25">
        <v>1</v>
      </c>
      <c r="F12" s="25"/>
      <c r="G12" s="25"/>
      <c r="H12" s="25"/>
      <c r="I12" s="25"/>
      <c r="J12" s="25"/>
      <c r="K12" s="25">
        <v>12</v>
      </c>
      <c r="L12" s="25">
        <v>2</v>
      </c>
      <c r="M12" s="25">
        <v>1</v>
      </c>
      <c r="N12" s="25">
        <v>1</v>
      </c>
      <c r="O12" s="25"/>
      <c r="P12" s="25"/>
      <c r="Q12" s="25"/>
      <c r="R12" s="25"/>
      <c r="S12" s="25"/>
    </row>
    <row r="13" spans="1:19" s="1" customFormat="1" ht="18.2" customHeight="1" x14ac:dyDescent="0.2">
      <c r="A13" s="1">
        <v>200066355</v>
      </c>
      <c r="B13" s="7" t="s">
        <v>170</v>
      </c>
      <c r="C13" s="26">
        <v>4708</v>
      </c>
      <c r="D13" s="26">
        <v>478</v>
      </c>
      <c r="E13" s="26">
        <v>260</v>
      </c>
      <c r="F13" s="26">
        <v>308</v>
      </c>
      <c r="G13" s="25">
        <v>247</v>
      </c>
      <c r="H13" s="25">
        <v>89</v>
      </c>
      <c r="I13" s="25">
        <v>20</v>
      </c>
      <c r="J13" s="25">
        <v>21</v>
      </c>
      <c r="K13" s="25">
        <v>2081</v>
      </c>
      <c r="L13" s="25">
        <v>591</v>
      </c>
      <c r="M13" s="25">
        <v>400</v>
      </c>
      <c r="N13" s="25">
        <v>142</v>
      </c>
      <c r="O13" s="25">
        <v>51</v>
      </c>
      <c r="P13" s="25">
        <v>10</v>
      </c>
      <c r="Q13" s="25">
        <v>10</v>
      </c>
      <c r="R13" s="25"/>
      <c r="S13" s="25"/>
    </row>
    <row r="14" spans="1:19" s="1" customFormat="1" ht="22.7" customHeight="1" x14ac:dyDescent="0.2">
      <c r="A14" s="13">
        <v>200066348</v>
      </c>
      <c r="B14" s="22" t="s">
        <v>171</v>
      </c>
      <c r="C14" s="4">
        <v>57</v>
      </c>
      <c r="D14" s="4">
        <v>5</v>
      </c>
      <c r="E14" s="4"/>
      <c r="F14" s="4"/>
      <c r="G14" s="4">
        <v>1</v>
      </c>
      <c r="H14" s="4">
        <v>2</v>
      </c>
      <c r="I14" s="4"/>
      <c r="J14" s="4">
        <v>1</v>
      </c>
      <c r="K14" s="4">
        <v>27</v>
      </c>
      <c r="L14" s="4">
        <v>11</v>
      </c>
      <c r="M14" s="4">
        <v>7</v>
      </c>
      <c r="N14" s="4">
        <v>2</v>
      </c>
      <c r="O14" s="4">
        <v>1</v>
      </c>
      <c r="P14" s="4"/>
      <c r="Q14" s="4"/>
      <c r="R14" s="4"/>
      <c r="S14" s="4"/>
    </row>
    <row r="15" spans="1:19" s="1" customFormat="1" ht="14.1" customHeight="1" x14ac:dyDescent="0.2">
      <c r="A15" s="8">
        <v>200042653</v>
      </c>
      <c r="B15" s="16" t="s">
        <v>169</v>
      </c>
      <c r="C15" s="23">
        <v>122</v>
      </c>
      <c r="D15" s="23">
        <v>12</v>
      </c>
      <c r="E15" s="23">
        <v>6</v>
      </c>
      <c r="F15" s="23">
        <v>7</v>
      </c>
      <c r="G15" s="23">
        <v>5</v>
      </c>
      <c r="H15" s="23">
        <v>2</v>
      </c>
      <c r="I15" s="23"/>
      <c r="J15" s="23"/>
      <c r="K15" s="23">
        <v>42</v>
      </c>
      <c r="L15" s="23">
        <v>22</v>
      </c>
      <c r="M15" s="23">
        <v>18</v>
      </c>
      <c r="N15" s="23">
        <v>4</v>
      </c>
      <c r="O15" s="23">
        <v>3</v>
      </c>
      <c r="P15" s="23">
        <v>1</v>
      </c>
      <c r="Q15" s="23"/>
      <c r="R15" s="23"/>
      <c r="S15" s="23"/>
    </row>
    <row r="16" spans="1:19" s="1" customFormat="1" ht="14.1" customHeight="1" x14ac:dyDescent="0.2">
      <c r="A16" s="8">
        <v>200042646</v>
      </c>
      <c r="B16" s="16" t="s">
        <v>168</v>
      </c>
      <c r="C16" s="23">
        <v>200</v>
      </c>
      <c r="D16" s="23">
        <v>14</v>
      </c>
      <c r="E16" s="23">
        <v>12</v>
      </c>
      <c r="F16" s="23">
        <v>8</v>
      </c>
      <c r="G16" s="23">
        <v>2</v>
      </c>
      <c r="H16" s="23">
        <v>1</v>
      </c>
      <c r="I16" s="23"/>
      <c r="J16" s="23"/>
      <c r="K16" s="23">
        <v>112</v>
      </c>
      <c r="L16" s="23">
        <v>25</v>
      </c>
      <c r="M16" s="23">
        <v>19</v>
      </c>
      <c r="N16" s="23">
        <v>3</v>
      </c>
      <c r="O16" s="23">
        <v>1</v>
      </c>
      <c r="P16" s="23">
        <v>2</v>
      </c>
      <c r="Q16" s="23">
        <v>1</v>
      </c>
      <c r="R16" s="23"/>
      <c r="S16" s="23"/>
    </row>
    <row r="17" spans="1:19" s="1" customFormat="1" ht="14.1" customHeight="1" x14ac:dyDescent="0.2">
      <c r="A17" s="8">
        <v>200022986</v>
      </c>
      <c r="B17" s="16" t="s">
        <v>167</v>
      </c>
      <c r="C17" s="23">
        <v>603</v>
      </c>
      <c r="D17" s="23">
        <v>55</v>
      </c>
      <c r="E17" s="23">
        <v>34</v>
      </c>
      <c r="F17" s="23">
        <v>43</v>
      </c>
      <c r="G17" s="23">
        <v>21</v>
      </c>
      <c r="H17" s="23">
        <v>6</v>
      </c>
      <c r="I17" s="23">
        <v>5</v>
      </c>
      <c r="J17" s="23">
        <v>2</v>
      </c>
      <c r="K17" s="23">
        <v>240</v>
      </c>
      <c r="L17" s="23">
        <v>96</v>
      </c>
      <c r="M17" s="23">
        <v>75</v>
      </c>
      <c r="N17" s="23">
        <v>18</v>
      </c>
      <c r="O17" s="23">
        <v>6</v>
      </c>
      <c r="P17" s="23"/>
      <c r="Q17" s="23">
        <v>2</v>
      </c>
      <c r="R17" s="23"/>
      <c r="S17" s="23"/>
    </row>
    <row r="18" spans="1:19" s="1" customFormat="1" ht="14.1" customHeight="1" x14ac:dyDescent="0.2">
      <c r="A18" s="10">
        <v>200017341</v>
      </c>
      <c r="B18" s="19" t="s">
        <v>166</v>
      </c>
      <c r="C18" s="24">
        <v>168</v>
      </c>
      <c r="D18" s="24">
        <v>20</v>
      </c>
      <c r="E18" s="24">
        <v>7</v>
      </c>
      <c r="F18" s="24">
        <v>11</v>
      </c>
      <c r="G18" s="24">
        <v>15</v>
      </c>
      <c r="H18" s="24">
        <v>7</v>
      </c>
      <c r="I18" s="24">
        <v>1</v>
      </c>
      <c r="J18" s="24">
        <v>2</v>
      </c>
      <c r="K18" s="24">
        <v>63</v>
      </c>
      <c r="L18" s="24">
        <v>23</v>
      </c>
      <c r="M18" s="24">
        <v>7</v>
      </c>
      <c r="N18" s="24">
        <v>8</v>
      </c>
      <c r="O18" s="24">
        <v>4</v>
      </c>
      <c r="P18" s="24"/>
      <c r="Q18" s="24"/>
      <c r="R18" s="24"/>
      <c r="S18" s="24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9" width="20.85546875" customWidth="1"/>
  </cols>
  <sheetData>
    <row r="1" spans="1: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92</v>
      </c>
      <c r="E1" s="2" t="s">
        <v>93</v>
      </c>
      <c r="F1" s="2" t="s">
        <v>94</v>
      </c>
      <c r="G1" s="2" t="s">
        <v>95</v>
      </c>
      <c r="H1" s="2" t="s">
        <v>55</v>
      </c>
      <c r="I1" s="2" t="s">
        <v>27</v>
      </c>
    </row>
    <row r="2" spans="1:9" s="1" customFormat="1" ht="14.1" customHeight="1" x14ac:dyDescent="0.2">
      <c r="A2" s="1">
        <v>200017341</v>
      </c>
      <c r="B2" s="17" t="s">
        <v>166</v>
      </c>
      <c r="C2" s="25">
        <v>168</v>
      </c>
      <c r="D2" s="25">
        <v>133</v>
      </c>
      <c r="E2" s="25">
        <v>26</v>
      </c>
      <c r="F2" s="25">
        <v>2</v>
      </c>
      <c r="G2" s="25"/>
      <c r="H2" s="25">
        <v>7</v>
      </c>
      <c r="I2" s="25"/>
    </row>
    <row r="3" spans="1:9" s="1" customFormat="1" ht="18.2" customHeight="1" x14ac:dyDescent="0.2">
      <c r="A3" s="1">
        <v>200022986</v>
      </c>
      <c r="B3" s="7" t="s">
        <v>167</v>
      </c>
      <c r="C3" s="26">
        <v>603</v>
      </c>
      <c r="D3" s="26">
        <v>383</v>
      </c>
      <c r="E3" s="26">
        <v>171</v>
      </c>
      <c r="F3" s="25">
        <v>21</v>
      </c>
      <c r="G3" s="25">
        <v>10</v>
      </c>
      <c r="H3" s="25">
        <v>18</v>
      </c>
      <c r="I3" s="25"/>
    </row>
    <row r="4" spans="1:9" s="1" customFormat="1" ht="22.7" customHeight="1" x14ac:dyDescent="0.2">
      <c r="A4" s="13">
        <v>200042646</v>
      </c>
      <c r="B4" s="22" t="s">
        <v>168</v>
      </c>
      <c r="C4" s="4">
        <v>200</v>
      </c>
      <c r="D4" s="4">
        <v>164</v>
      </c>
      <c r="E4" s="4">
        <v>24</v>
      </c>
      <c r="F4" s="4">
        <v>3</v>
      </c>
      <c r="G4" s="4"/>
      <c r="H4" s="4">
        <v>9</v>
      </c>
      <c r="I4" s="4"/>
    </row>
    <row r="5" spans="1:9" s="1" customFormat="1" ht="14.1" customHeight="1" x14ac:dyDescent="0.2">
      <c r="A5" s="8">
        <v>200042653</v>
      </c>
      <c r="B5" s="16" t="s">
        <v>169</v>
      </c>
      <c r="C5" s="23">
        <v>122</v>
      </c>
      <c r="D5" s="23">
        <v>101</v>
      </c>
      <c r="E5" s="23">
        <v>9</v>
      </c>
      <c r="F5" s="23">
        <v>5</v>
      </c>
      <c r="G5" s="23">
        <v>1</v>
      </c>
      <c r="H5" s="23">
        <v>6</v>
      </c>
      <c r="I5" s="23"/>
    </row>
    <row r="6" spans="1:9" s="1" customFormat="1" ht="14.1" customHeight="1" x14ac:dyDescent="0.2">
      <c r="A6" s="8">
        <v>200066348</v>
      </c>
      <c r="B6" s="16" t="s">
        <v>171</v>
      </c>
      <c r="C6" s="23">
        <v>57</v>
      </c>
      <c r="D6" s="23">
        <v>46</v>
      </c>
      <c r="E6" s="23">
        <v>11</v>
      </c>
      <c r="F6" s="23"/>
      <c r="G6" s="23"/>
      <c r="H6" s="23"/>
      <c r="I6" s="23"/>
    </row>
    <row r="7" spans="1:9" s="1" customFormat="1" ht="14.1" customHeight="1" x14ac:dyDescent="0.2">
      <c r="A7" s="8">
        <v>200066355</v>
      </c>
      <c r="B7" s="16" t="s">
        <v>170</v>
      </c>
      <c r="C7" s="23">
        <v>4708</v>
      </c>
      <c r="D7" s="23">
        <v>3465</v>
      </c>
      <c r="E7" s="23">
        <v>866</v>
      </c>
      <c r="F7" s="23">
        <v>150</v>
      </c>
      <c r="G7" s="23">
        <v>60</v>
      </c>
      <c r="H7" s="23">
        <v>167</v>
      </c>
      <c r="I7" s="23"/>
    </row>
    <row r="8" spans="1:9" s="1" customFormat="1" ht="14.1" customHeight="1" x14ac:dyDescent="0.2">
      <c r="A8" s="8">
        <v>200066553</v>
      </c>
      <c r="B8" s="16" t="s">
        <v>172</v>
      </c>
      <c r="C8" s="23">
        <v>18</v>
      </c>
      <c r="D8" s="23">
        <v>15</v>
      </c>
      <c r="E8" s="23">
        <v>1</v>
      </c>
      <c r="F8" s="23">
        <v>1</v>
      </c>
      <c r="G8" s="23"/>
      <c r="H8" s="23">
        <v>1</v>
      </c>
      <c r="I8" s="23"/>
    </row>
    <row r="9" spans="1:9" s="1" customFormat="1" ht="14.1" customHeight="1" x14ac:dyDescent="0.2">
      <c r="A9" s="8">
        <v>200071058</v>
      </c>
      <c r="B9" s="16" t="s">
        <v>173</v>
      </c>
      <c r="C9" s="23">
        <v>215</v>
      </c>
      <c r="D9" s="23">
        <v>157</v>
      </c>
      <c r="E9" s="23">
        <v>43</v>
      </c>
      <c r="F9" s="23">
        <v>4</v>
      </c>
      <c r="G9" s="23">
        <v>2</v>
      </c>
      <c r="H9" s="23">
        <v>9</v>
      </c>
      <c r="I9" s="23"/>
    </row>
    <row r="10" spans="1:9" s="1" customFormat="1" ht="14.1" customHeight="1" x14ac:dyDescent="0.2">
      <c r="A10" s="8">
        <v>243400017</v>
      </c>
      <c r="B10" s="16" t="s">
        <v>174</v>
      </c>
      <c r="C10" s="23">
        <v>25746</v>
      </c>
      <c r="D10" s="23">
        <v>19083</v>
      </c>
      <c r="E10" s="23">
        <v>4719</v>
      </c>
      <c r="F10" s="23">
        <v>750</v>
      </c>
      <c r="G10" s="23">
        <v>324</v>
      </c>
      <c r="H10" s="23">
        <v>870</v>
      </c>
      <c r="I10" s="23"/>
    </row>
    <row r="11" spans="1:9" s="1" customFormat="1" ht="14.1" customHeight="1" x14ac:dyDescent="0.2">
      <c r="A11" s="8">
        <v>243400355</v>
      </c>
      <c r="B11" s="16" t="s">
        <v>175</v>
      </c>
      <c r="C11" s="23">
        <v>562</v>
      </c>
      <c r="D11" s="23">
        <v>454</v>
      </c>
      <c r="E11" s="23">
        <v>82</v>
      </c>
      <c r="F11" s="23">
        <v>4</v>
      </c>
      <c r="G11" s="23">
        <v>8</v>
      </c>
      <c r="H11" s="23">
        <v>14</v>
      </c>
      <c r="I11" s="23"/>
    </row>
    <row r="12" spans="1:9" s="1" customFormat="1" ht="14.1" customHeight="1" x14ac:dyDescent="0.2">
      <c r="A12" s="10">
        <v>243400470</v>
      </c>
      <c r="B12" s="19" t="s">
        <v>176</v>
      </c>
      <c r="C12" s="24">
        <v>1482</v>
      </c>
      <c r="D12" s="24">
        <v>954</v>
      </c>
      <c r="E12" s="24">
        <v>366</v>
      </c>
      <c r="F12" s="24">
        <v>68</v>
      </c>
      <c r="G12" s="24">
        <v>22</v>
      </c>
      <c r="H12" s="24">
        <v>72</v>
      </c>
      <c r="I12" s="24"/>
    </row>
    <row r="13" spans="1:9" s="1" customFormat="1" ht="14.1" customHeight="1" x14ac:dyDescent="0.2">
      <c r="A13" s="10">
        <v>243400488</v>
      </c>
      <c r="B13" s="19" t="s">
        <v>177</v>
      </c>
      <c r="C13" s="24">
        <v>436</v>
      </c>
      <c r="D13" s="24">
        <v>331</v>
      </c>
      <c r="E13" s="24">
        <v>77</v>
      </c>
      <c r="F13" s="24">
        <v>10</v>
      </c>
      <c r="G13" s="24">
        <v>3</v>
      </c>
      <c r="H13" s="24">
        <v>15</v>
      </c>
      <c r="I13" s="24"/>
    </row>
    <row r="14" spans="1:9" s="1" customFormat="1" ht="14.1" customHeight="1" x14ac:dyDescent="0.2">
      <c r="A14" s="1">
        <v>243400520</v>
      </c>
      <c r="B14" s="7" t="s">
        <v>184</v>
      </c>
      <c r="C14" s="4">
        <v>1429</v>
      </c>
      <c r="D14" s="4">
        <v>1098</v>
      </c>
      <c r="E14" s="4">
        <v>232</v>
      </c>
      <c r="F14" s="4">
        <v>29</v>
      </c>
      <c r="G14" s="4">
        <v>12</v>
      </c>
      <c r="H14" s="4">
        <v>58</v>
      </c>
      <c r="I14" s="4"/>
    </row>
    <row r="15" spans="1:9" s="1" customFormat="1" ht="14.1" customHeight="1" x14ac:dyDescent="0.2">
      <c r="A15" s="1">
        <v>243400694</v>
      </c>
      <c r="B15" s="17" t="s">
        <v>182</v>
      </c>
      <c r="C15" s="25">
        <v>525</v>
      </c>
      <c r="D15" s="25">
        <v>397</v>
      </c>
      <c r="E15" s="25">
        <v>92</v>
      </c>
      <c r="F15" s="25">
        <v>11</v>
      </c>
      <c r="G15" s="25">
        <v>7</v>
      </c>
      <c r="H15" s="25">
        <v>18</v>
      </c>
      <c r="I15" s="25"/>
    </row>
    <row r="16" spans="1:9" s="1" customFormat="1" ht="18.2" customHeight="1" x14ac:dyDescent="0.2">
      <c r="A16" s="1">
        <v>243400736</v>
      </c>
      <c r="B16" s="7" t="s">
        <v>183</v>
      </c>
      <c r="C16" s="26">
        <v>160</v>
      </c>
      <c r="D16" s="26">
        <v>137</v>
      </c>
      <c r="E16" s="26">
        <v>15</v>
      </c>
      <c r="F16" s="25">
        <v>4</v>
      </c>
      <c r="G16" s="25">
        <v>2</v>
      </c>
      <c r="H16" s="25">
        <v>2</v>
      </c>
      <c r="I16" s="25"/>
    </row>
    <row r="17" spans="1:9" s="1" customFormat="1" ht="22.7" customHeight="1" x14ac:dyDescent="0.2">
      <c r="A17" s="36" t="s">
        <v>181</v>
      </c>
      <c r="B17" s="22" t="s">
        <v>180</v>
      </c>
      <c r="C17" s="4">
        <v>4537</v>
      </c>
      <c r="D17" s="4">
        <v>3516</v>
      </c>
      <c r="E17" s="4">
        <v>578</v>
      </c>
      <c r="F17" s="4">
        <v>57</v>
      </c>
      <c r="G17" s="4">
        <v>26</v>
      </c>
      <c r="H17" s="4">
        <v>360</v>
      </c>
      <c r="I17" s="4"/>
    </row>
    <row r="18" spans="1:9" s="1" customFormat="1" ht="14.1" customHeight="1" x14ac:dyDescent="0.2">
      <c r="A18" s="35" t="s">
        <v>179</v>
      </c>
      <c r="B18" s="16" t="s">
        <v>178</v>
      </c>
      <c r="C18" s="23">
        <v>2006</v>
      </c>
      <c r="D18" s="23">
        <v>1528</v>
      </c>
      <c r="E18" s="23">
        <v>337</v>
      </c>
      <c r="F18" s="23">
        <v>38</v>
      </c>
      <c r="G18" s="23">
        <v>21</v>
      </c>
      <c r="H18" s="23">
        <v>82</v>
      </c>
      <c r="I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25" width="20.85546875" customWidth="1"/>
  </cols>
  <sheetData>
    <row r="1" spans="1:25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96</v>
      </c>
      <c r="E1" s="2" t="s">
        <v>97</v>
      </c>
      <c r="F1" s="2" t="s">
        <v>98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11</v>
      </c>
      <c r="L1" s="2" t="s">
        <v>103</v>
      </c>
      <c r="M1" s="2" t="s">
        <v>104</v>
      </c>
      <c r="N1" s="2" t="s">
        <v>105</v>
      </c>
      <c r="O1" s="2" t="s">
        <v>106</v>
      </c>
      <c r="P1" s="2" t="s">
        <v>107</v>
      </c>
      <c r="Q1" s="2" t="s">
        <v>31</v>
      </c>
      <c r="R1" s="2" t="s">
        <v>108</v>
      </c>
      <c r="S1" s="2" t="s">
        <v>109</v>
      </c>
      <c r="T1" s="2" t="s">
        <v>110</v>
      </c>
      <c r="U1" s="2" t="s">
        <v>111</v>
      </c>
      <c r="V1" s="2" t="s">
        <v>112</v>
      </c>
      <c r="W1" s="2" t="s">
        <v>27</v>
      </c>
      <c r="X1" s="2" t="s">
        <v>113</v>
      </c>
      <c r="Y1" s="2" t="s">
        <v>114</v>
      </c>
    </row>
    <row r="2" spans="1:25" s="1" customFormat="1" ht="14.1" customHeight="1" x14ac:dyDescent="0.2">
      <c r="A2" s="1">
        <v>200017341</v>
      </c>
      <c r="B2" s="17" t="s">
        <v>166</v>
      </c>
      <c r="C2" s="25">
        <v>168</v>
      </c>
      <c r="D2" s="25">
        <v>2</v>
      </c>
      <c r="E2" s="25"/>
      <c r="F2" s="25">
        <v>12</v>
      </c>
      <c r="G2" s="25">
        <v>12</v>
      </c>
      <c r="H2" s="25"/>
      <c r="I2" s="25">
        <v>1</v>
      </c>
      <c r="J2" s="25"/>
      <c r="K2" s="25"/>
      <c r="L2" s="25">
        <v>47</v>
      </c>
      <c r="M2" s="25">
        <v>73</v>
      </c>
      <c r="N2" s="25"/>
      <c r="O2" s="25"/>
      <c r="P2" s="25">
        <v>8</v>
      </c>
      <c r="Q2" s="25"/>
      <c r="R2" s="25">
        <v>5</v>
      </c>
      <c r="S2" s="25"/>
      <c r="T2" s="25">
        <v>1</v>
      </c>
      <c r="U2" s="25"/>
      <c r="V2" s="25">
        <v>2</v>
      </c>
      <c r="W2" s="25"/>
      <c r="X2" s="25"/>
      <c r="Y2" s="25">
        <v>5</v>
      </c>
    </row>
    <row r="3" spans="1:25" s="1" customFormat="1" ht="18.2" customHeight="1" x14ac:dyDescent="0.2">
      <c r="A3" s="1">
        <v>200022986</v>
      </c>
      <c r="B3" s="7" t="s">
        <v>167</v>
      </c>
      <c r="C3" s="26">
        <v>603</v>
      </c>
      <c r="D3" s="26"/>
      <c r="E3" s="26"/>
      <c r="F3" s="25">
        <v>70</v>
      </c>
      <c r="G3" s="25">
        <v>37</v>
      </c>
      <c r="H3" s="25"/>
      <c r="I3" s="25">
        <v>3</v>
      </c>
      <c r="J3" s="25">
        <v>2</v>
      </c>
      <c r="K3" s="25"/>
      <c r="L3" s="25">
        <v>121</v>
      </c>
      <c r="M3" s="25">
        <v>315</v>
      </c>
      <c r="N3" s="25"/>
      <c r="O3" s="25">
        <v>2</v>
      </c>
      <c r="P3" s="25">
        <v>9</v>
      </c>
      <c r="Q3" s="25"/>
      <c r="R3" s="25">
        <v>25</v>
      </c>
      <c r="S3" s="25">
        <v>4</v>
      </c>
      <c r="T3" s="25">
        <v>1</v>
      </c>
      <c r="U3" s="25">
        <v>2</v>
      </c>
      <c r="V3" s="25">
        <v>4</v>
      </c>
      <c r="W3" s="25"/>
      <c r="X3" s="25">
        <v>3</v>
      </c>
      <c r="Y3" s="25">
        <v>5</v>
      </c>
    </row>
    <row r="4" spans="1:25" s="1" customFormat="1" ht="22.7" customHeight="1" x14ac:dyDescent="0.2">
      <c r="A4" s="13">
        <v>200042646</v>
      </c>
      <c r="B4" s="22" t="s">
        <v>168</v>
      </c>
      <c r="C4" s="4">
        <v>200</v>
      </c>
      <c r="D4" s="4"/>
      <c r="E4" s="4"/>
      <c r="F4" s="4">
        <v>19</v>
      </c>
      <c r="G4" s="4">
        <v>12</v>
      </c>
      <c r="H4" s="4"/>
      <c r="I4" s="4"/>
      <c r="J4" s="4">
        <v>1</v>
      </c>
      <c r="K4" s="4"/>
      <c r="L4" s="4">
        <v>23</v>
      </c>
      <c r="M4" s="4">
        <v>125</v>
      </c>
      <c r="N4" s="4"/>
      <c r="O4" s="4"/>
      <c r="P4" s="4">
        <v>4</v>
      </c>
      <c r="Q4" s="4"/>
      <c r="R4" s="4">
        <v>9</v>
      </c>
      <c r="S4" s="4"/>
      <c r="T4" s="4"/>
      <c r="U4" s="4">
        <v>1</v>
      </c>
      <c r="V4" s="4">
        <v>3</v>
      </c>
      <c r="W4" s="4"/>
      <c r="X4" s="4">
        <v>1</v>
      </c>
      <c r="Y4" s="4">
        <v>2</v>
      </c>
    </row>
    <row r="5" spans="1:25" s="1" customFormat="1" ht="14.1" customHeight="1" x14ac:dyDescent="0.2">
      <c r="A5" s="8">
        <v>200042653</v>
      </c>
      <c r="B5" s="16" t="s">
        <v>169</v>
      </c>
      <c r="C5" s="23">
        <v>122</v>
      </c>
      <c r="D5" s="23">
        <v>1</v>
      </c>
      <c r="E5" s="23"/>
      <c r="F5" s="23">
        <v>8</v>
      </c>
      <c r="G5" s="23">
        <v>9</v>
      </c>
      <c r="H5" s="23"/>
      <c r="I5" s="23">
        <v>1</v>
      </c>
      <c r="J5" s="23"/>
      <c r="K5" s="23"/>
      <c r="L5" s="23">
        <v>11</v>
      </c>
      <c r="M5" s="23">
        <v>80</v>
      </c>
      <c r="N5" s="23"/>
      <c r="O5" s="23"/>
      <c r="P5" s="23">
        <v>5</v>
      </c>
      <c r="Q5" s="23"/>
      <c r="R5" s="23">
        <v>3</v>
      </c>
      <c r="S5" s="23"/>
      <c r="T5" s="23"/>
      <c r="U5" s="23">
        <v>2</v>
      </c>
      <c r="V5" s="23">
        <v>2</v>
      </c>
      <c r="W5" s="23"/>
      <c r="X5" s="23"/>
      <c r="Y5" s="23"/>
    </row>
    <row r="6" spans="1:25" s="1" customFormat="1" ht="14.1" customHeight="1" x14ac:dyDescent="0.2">
      <c r="A6" s="8">
        <v>200066348</v>
      </c>
      <c r="B6" s="16" t="s">
        <v>171</v>
      </c>
      <c r="C6" s="23">
        <v>57</v>
      </c>
      <c r="D6" s="23"/>
      <c r="E6" s="23">
        <v>1</v>
      </c>
      <c r="F6" s="23">
        <v>2</v>
      </c>
      <c r="G6" s="23">
        <v>7</v>
      </c>
      <c r="H6" s="23"/>
      <c r="I6" s="23"/>
      <c r="J6" s="23"/>
      <c r="K6" s="23"/>
      <c r="L6" s="23">
        <v>17</v>
      </c>
      <c r="M6" s="23">
        <v>26</v>
      </c>
      <c r="N6" s="23"/>
      <c r="O6" s="23">
        <v>1</v>
      </c>
      <c r="P6" s="23">
        <v>2</v>
      </c>
      <c r="Q6" s="23"/>
      <c r="R6" s="23">
        <v>1</v>
      </c>
      <c r="S6" s="23"/>
      <c r="T6" s="23"/>
      <c r="U6" s="23"/>
      <c r="V6" s="23"/>
      <c r="W6" s="23"/>
      <c r="X6" s="23"/>
      <c r="Y6" s="23"/>
    </row>
    <row r="7" spans="1:25" s="1" customFormat="1" ht="14.1" customHeight="1" x14ac:dyDescent="0.2">
      <c r="A7" s="8">
        <v>200066355</v>
      </c>
      <c r="B7" s="16" t="s">
        <v>170</v>
      </c>
      <c r="C7" s="23">
        <v>4708</v>
      </c>
      <c r="D7" s="23">
        <v>17</v>
      </c>
      <c r="E7" s="23">
        <v>1</v>
      </c>
      <c r="F7" s="23">
        <v>543</v>
      </c>
      <c r="G7" s="23">
        <v>282</v>
      </c>
      <c r="H7" s="23"/>
      <c r="I7" s="23">
        <v>10</v>
      </c>
      <c r="J7" s="23">
        <v>5</v>
      </c>
      <c r="K7" s="23"/>
      <c r="L7" s="23">
        <v>1303</v>
      </c>
      <c r="M7" s="23">
        <v>2044</v>
      </c>
      <c r="N7" s="23"/>
      <c r="O7" s="23">
        <v>13</v>
      </c>
      <c r="P7" s="23">
        <v>212</v>
      </c>
      <c r="Q7" s="23"/>
      <c r="R7" s="23">
        <v>120</v>
      </c>
      <c r="S7" s="23">
        <v>3</v>
      </c>
      <c r="T7" s="23">
        <v>3</v>
      </c>
      <c r="U7" s="23">
        <v>32</v>
      </c>
      <c r="V7" s="23">
        <v>61</v>
      </c>
      <c r="W7" s="23"/>
      <c r="X7" s="23">
        <v>12</v>
      </c>
      <c r="Y7" s="23">
        <v>47</v>
      </c>
    </row>
    <row r="8" spans="1:25" s="1" customFormat="1" ht="14.1" customHeight="1" x14ac:dyDescent="0.2">
      <c r="A8" s="8">
        <v>200066553</v>
      </c>
      <c r="B8" s="16" t="s">
        <v>172</v>
      </c>
      <c r="C8" s="23">
        <v>18</v>
      </c>
      <c r="D8" s="23"/>
      <c r="E8" s="23"/>
      <c r="F8" s="23"/>
      <c r="G8" s="23">
        <v>3</v>
      </c>
      <c r="H8" s="23"/>
      <c r="I8" s="23"/>
      <c r="J8" s="23">
        <v>1</v>
      </c>
      <c r="K8" s="23"/>
      <c r="L8" s="23">
        <v>3</v>
      </c>
      <c r="M8" s="23">
        <v>4</v>
      </c>
      <c r="N8" s="23"/>
      <c r="O8" s="23">
        <v>2</v>
      </c>
      <c r="P8" s="23">
        <v>1</v>
      </c>
      <c r="Q8" s="23"/>
      <c r="R8" s="23">
        <v>2</v>
      </c>
      <c r="S8" s="23"/>
      <c r="T8" s="23"/>
      <c r="U8" s="23"/>
      <c r="V8" s="23">
        <v>1</v>
      </c>
      <c r="W8" s="23"/>
      <c r="X8" s="23"/>
      <c r="Y8" s="23">
        <v>1</v>
      </c>
    </row>
    <row r="9" spans="1:25" s="1" customFormat="1" ht="14.1" customHeight="1" x14ac:dyDescent="0.2">
      <c r="A9" s="8">
        <v>200071058</v>
      </c>
      <c r="B9" s="16" t="s">
        <v>173</v>
      </c>
      <c r="C9" s="23">
        <v>215</v>
      </c>
      <c r="D9" s="23">
        <v>3</v>
      </c>
      <c r="E9" s="23"/>
      <c r="F9" s="23">
        <v>27</v>
      </c>
      <c r="G9" s="23">
        <v>24</v>
      </c>
      <c r="H9" s="23"/>
      <c r="I9" s="23"/>
      <c r="J9" s="23"/>
      <c r="K9" s="23"/>
      <c r="L9" s="23">
        <v>25</v>
      </c>
      <c r="M9" s="23">
        <v>114</v>
      </c>
      <c r="N9" s="23"/>
      <c r="O9" s="23">
        <v>1</v>
      </c>
      <c r="P9" s="23">
        <v>9</v>
      </c>
      <c r="Q9" s="23"/>
      <c r="R9" s="23">
        <v>10</v>
      </c>
      <c r="S9" s="23"/>
      <c r="T9" s="23"/>
      <c r="U9" s="23">
        <v>1</v>
      </c>
      <c r="V9" s="23">
        <v>1</v>
      </c>
      <c r="W9" s="23"/>
      <c r="X9" s="23"/>
      <c r="Y9" s="23"/>
    </row>
    <row r="10" spans="1:25" s="1" customFormat="1" ht="14.1" customHeight="1" x14ac:dyDescent="0.2">
      <c r="A10" s="8">
        <v>243400017</v>
      </c>
      <c r="B10" s="16" t="s">
        <v>174</v>
      </c>
      <c r="C10" s="23">
        <v>25746</v>
      </c>
      <c r="D10" s="23">
        <v>42</v>
      </c>
      <c r="E10" s="23">
        <v>10</v>
      </c>
      <c r="F10" s="23">
        <v>2790</v>
      </c>
      <c r="G10" s="23">
        <v>1569</v>
      </c>
      <c r="H10" s="23">
        <v>5</v>
      </c>
      <c r="I10" s="23">
        <v>31</v>
      </c>
      <c r="J10" s="23">
        <v>89</v>
      </c>
      <c r="K10" s="23"/>
      <c r="L10" s="23">
        <v>7739</v>
      </c>
      <c r="M10" s="23">
        <v>10174</v>
      </c>
      <c r="N10" s="23"/>
      <c r="O10" s="23">
        <v>50</v>
      </c>
      <c r="P10" s="23">
        <v>749</v>
      </c>
      <c r="Q10" s="23">
        <v>3</v>
      </c>
      <c r="R10" s="23">
        <v>561</v>
      </c>
      <c r="S10" s="23">
        <v>199</v>
      </c>
      <c r="T10" s="23">
        <v>57</v>
      </c>
      <c r="U10" s="23">
        <v>462</v>
      </c>
      <c r="V10" s="23">
        <v>463</v>
      </c>
      <c r="W10" s="23"/>
      <c r="X10" s="23">
        <v>74</v>
      </c>
      <c r="Y10" s="23">
        <v>679</v>
      </c>
    </row>
    <row r="11" spans="1:25" s="1" customFormat="1" ht="14.1" customHeight="1" x14ac:dyDescent="0.2">
      <c r="A11" s="8">
        <v>243400355</v>
      </c>
      <c r="B11" s="16" t="s">
        <v>175</v>
      </c>
      <c r="C11" s="23">
        <v>562</v>
      </c>
      <c r="D11" s="23">
        <v>3</v>
      </c>
      <c r="E11" s="23"/>
      <c r="F11" s="23">
        <v>49</v>
      </c>
      <c r="G11" s="23">
        <v>35</v>
      </c>
      <c r="H11" s="23"/>
      <c r="I11" s="23">
        <v>1</v>
      </c>
      <c r="J11" s="23"/>
      <c r="K11" s="23"/>
      <c r="L11" s="23">
        <v>120</v>
      </c>
      <c r="M11" s="23">
        <v>292</v>
      </c>
      <c r="N11" s="23"/>
      <c r="O11" s="23">
        <v>1</v>
      </c>
      <c r="P11" s="23">
        <v>22</v>
      </c>
      <c r="Q11" s="23"/>
      <c r="R11" s="23">
        <v>21</v>
      </c>
      <c r="S11" s="23">
        <v>2</v>
      </c>
      <c r="T11" s="23"/>
      <c r="U11" s="23">
        <v>1</v>
      </c>
      <c r="V11" s="23">
        <v>8</v>
      </c>
      <c r="W11" s="23"/>
      <c r="X11" s="23">
        <v>3</v>
      </c>
      <c r="Y11" s="23">
        <v>4</v>
      </c>
    </row>
    <row r="12" spans="1:25" s="1" customFormat="1" ht="14.1" customHeight="1" x14ac:dyDescent="0.2">
      <c r="A12" s="10">
        <v>243400470</v>
      </c>
      <c r="B12" s="19" t="s">
        <v>176</v>
      </c>
      <c r="C12" s="24">
        <v>1482</v>
      </c>
      <c r="D12" s="24">
        <v>4</v>
      </c>
      <c r="E12" s="24"/>
      <c r="F12" s="24">
        <v>179</v>
      </c>
      <c r="G12" s="24">
        <v>105</v>
      </c>
      <c r="H12" s="24"/>
      <c r="I12" s="24">
        <v>5</v>
      </c>
      <c r="J12" s="24">
        <v>1</v>
      </c>
      <c r="K12" s="24"/>
      <c r="L12" s="24">
        <v>294</v>
      </c>
      <c r="M12" s="24">
        <v>779</v>
      </c>
      <c r="N12" s="24"/>
      <c r="O12" s="24">
        <v>4</v>
      </c>
      <c r="P12" s="24">
        <v>35</v>
      </c>
      <c r="Q12" s="24"/>
      <c r="R12" s="24">
        <v>36</v>
      </c>
      <c r="S12" s="24">
        <v>4</v>
      </c>
      <c r="T12" s="24">
        <v>1</v>
      </c>
      <c r="U12" s="24">
        <v>2</v>
      </c>
      <c r="V12" s="24">
        <v>17</v>
      </c>
      <c r="W12" s="24"/>
      <c r="X12" s="24">
        <v>9</v>
      </c>
      <c r="Y12" s="24">
        <v>7</v>
      </c>
    </row>
    <row r="13" spans="1:25" s="1" customFormat="1" ht="14.1" customHeight="1" x14ac:dyDescent="0.2">
      <c r="A13" s="10">
        <v>243400488</v>
      </c>
      <c r="B13" s="19" t="s">
        <v>177</v>
      </c>
      <c r="C13" s="24">
        <v>436</v>
      </c>
      <c r="D13" s="24">
        <v>3</v>
      </c>
      <c r="E13" s="24"/>
      <c r="F13" s="24">
        <v>49</v>
      </c>
      <c r="G13" s="24">
        <v>40</v>
      </c>
      <c r="H13" s="24"/>
      <c r="I13" s="24"/>
      <c r="J13" s="24"/>
      <c r="K13" s="24"/>
      <c r="L13" s="24">
        <v>69</v>
      </c>
      <c r="M13" s="24">
        <v>236</v>
      </c>
      <c r="N13" s="24"/>
      <c r="O13" s="24">
        <v>2</v>
      </c>
      <c r="P13" s="24">
        <v>8</v>
      </c>
      <c r="Q13" s="24"/>
      <c r="R13" s="24">
        <v>19</v>
      </c>
      <c r="S13" s="24"/>
      <c r="T13" s="24">
        <v>1</v>
      </c>
      <c r="U13" s="24">
        <v>2</v>
      </c>
      <c r="V13" s="24">
        <v>6</v>
      </c>
      <c r="W13" s="24"/>
      <c r="X13" s="24"/>
      <c r="Y13" s="24">
        <v>1</v>
      </c>
    </row>
    <row r="14" spans="1:25" s="1" customFormat="1" ht="14.1" customHeight="1" x14ac:dyDescent="0.2">
      <c r="A14" s="1">
        <v>243400520</v>
      </c>
      <c r="B14" s="7" t="s">
        <v>184</v>
      </c>
      <c r="C14" s="4">
        <v>1429</v>
      </c>
      <c r="D14" s="4">
        <v>6</v>
      </c>
      <c r="E14" s="4">
        <v>1</v>
      </c>
      <c r="F14" s="4">
        <v>164</v>
      </c>
      <c r="G14" s="4">
        <v>115</v>
      </c>
      <c r="H14" s="4"/>
      <c r="I14" s="4">
        <v>1</v>
      </c>
      <c r="J14" s="4">
        <v>2</v>
      </c>
      <c r="K14" s="4"/>
      <c r="L14" s="4">
        <v>327</v>
      </c>
      <c r="M14" s="4">
        <v>710</v>
      </c>
      <c r="N14" s="4"/>
      <c r="O14" s="4">
        <v>2</v>
      </c>
      <c r="P14" s="4">
        <v>21</v>
      </c>
      <c r="Q14" s="4"/>
      <c r="R14" s="4">
        <v>28</v>
      </c>
      <c r="S14" s="4">
        <v>1</v>
      </c>
      <c r="T14" s="4"/>
      <c r="U14" s="4">
        <v>12</v>
      </c>
      <c r="V14" s="4">
        <v>17</v>
      </c>
      <c r="W14" s="4"/>
      <c r="X14" s="4">
        <v>3</v>
      </c>
      <c r="Y14" s="4">
        <v>19</v>
      </c>
    </row>
    <row r="15" spans="1:25" s="1" customFormat="1" ht="14.1" customHeight="1" x14ac:dyDescent="0.2">
      <c r="A15" s="1">
        <v>243400694</v>
      </c>
      <c r="B15" s="17" t="s">
        <v>182</v>
      </c>
      <c r="C15" s="25">
        <v>525</v>
      </c>
      <c r="D15" s="25">
        <v>3</v>
      </c>
      <c r="E15" s="25"/>
      <c r="F15" s="25">
        <v>54</v>
      </c>
      <c r="G15" s="25">
        <v>56</v>
      </c>
      <c r="H15" s="25"/>
      <c r="I15" s="25">
        <v>1</v>
      </c>
      <c r="J15" s="25"/>
      <c r="K15" s="25"/>
      <c r="L15" s="25">
        <v>106</v>
      </c>
      <c r="M15" s="25">
        <v>264</v>
      </c>
      <c r="N15" s="25"/>
      <c r="O15" s="25">
        <v>1</v>
      </c>
      <c r="P15" s="25">
        <v>11</v>
      </c>
      <c r="Q15" s="25"/>
      <c r="R15" s="25">
        <v>15</v>
      </c>
      <c r="S15" s="25"/>
      <c r="T15" s="25"/>
      <c r="U15" s="25">
        <v>2</v>
      </c>
      <c r="V15" s="25">
        <v>6</v>
      </c>
      <c r="W15" s="25"/>
      <c r="X15" s="25">
        <v>2</v>
      </c>
      <c r="Y15" s="25">
        <v>4</v>
      </c>
    </row>
    <row r="16" spans="1:25" s="1" customFormat="1" ht="18.2" customHeight="1" x14ac:dyDescent="0.2">
      <c r="A16" s="1">
        <v>243400736</v>
      </c>
      <c r="B16" s="7" t="s">
        <v>183</v>
      </c>
      <c r="C16" s="26">
        <v>160</v>
      </c>
      <c r="D16" s="26">
        <v>1</v>
      </c>
      <c r="E16" s="26"/>
      <c r="F16" s="25">
        <v>14</v>
      </c>
      <c r="G16" s="25">
        <v>7</v>
      </c>
      <c r="H16" s="25"/>
      <c r="I16" s="25">
        <v>2</v>
      </c>
      <c r="J16" s="25"/>
      <c r="K16" s="25"/>
      <c r="L16" s="25">
        <v>31</v>
      </c>
      <c r="M16" s="25">
        <v>90</v>
      </c>
      <c r="N16" s="25"/>
      <c r="O16" s="25"/>
      <c r="P16" s="25">
        <v>5</v>
      </c>
      <c r="Q16" s="25"/>
      <c r="R16" s="25">
        <v>6</v>
      </c>
      <c r="S16" s="25"/>
      <c r="T16" s="25"/>
      <c r="U16" s="25">
        <v>2</v>
      </c>
      <c r="V16" s="25">
        <v>1</v>
      </c>
      <c r="W16" s="25"/>
      <c r="X16" s="25"/>
      <c r="Y16" s="25">
        <v>1</v>
      </c>
    </row>
    <row r="17" spans="1:25" s="1" customFormat="1" ht="22.7" customHeight="1" x14ac:dyDescent="0.2">
      <c r="A17" s="36" t="s">
        <v>181</v>
      </c>
      <c r="B17" s="22" t="s">
        <v>180</v>
      </c>
      <c r="C17" s="4">
        <v>4537</v>
      </c>
      <c r="D17" s="4">
        <v>10</v>
      </c>
      <c r="E17" s="4">
        <v>1</v>
      </c>
      <c r="F17" s="4">
        <v>472</v>
      </c>
      <c r="G17" s="4">
        <v>235</v>
      </c>
      <c r="H17" s="4"/>
      <c r="I17" s="4">
        <v>1</v>
      </c>
      <c r="J17" s="4">
        <v>6</v>
      </c>
      <c r="K17" s="4"/>
      <c r="L17" s="4">
        <v>1383</v>
      </c>
      <c r="M17" s="4">
        <v>2125</v>
      </c>
      <c r="N17" s="4"/>
      <c r="O17" s="4">
        <v>10</v>
      </c>
      <c r="P17" s="4">
        <v>63</v>
      </c>
      <c r="Q17" s="4">
        <v>1</v>
      </c>
      <c r="R17" s="4">
        <v>116</v>
      </c>
      <c r="S17" s="4">
        <v>3</v>
      </c>
      <c r="T17" s="4">
        <v>3</v>
      </c>
      <c r="U17" s="4">
        <v>11</v>
      </c>
      <c r="V17" s="4">
        <v>37</v>
      </c>
      <c r="W17" s="4"/>
      <c r="X17" s="4">
        <v>10</v>
      </c>
      <c r="Y17" s="4">
        <v>50</v>
      </c>
    </row>
    <row r="18" spans="1:25" s="1" customFormat="1" ht="14.1" customHeight="1" x14ac:dyDescent="0.2">
      <c r="A18" s="35" t="s">
        <v>179</v>
      </c>
      <c r="B18" s="16" t="s">
        <v>178</v>
      </c>
      <c r="C18" s="23">
        <v>2006</v>
      </c>
      <c r="D18" s="23">
        <v>17</v>
      </c>
      <c r="E18" s="23">
        <v>1</v>
      </c>
      <c r="F18" s="23">
        <v>241</v>
      </c>
      <c r="G18" s="23">
        <v>134</v>
      </c>
      <c r="H18" s="23"/>
      <c r="I18" s="23">
        <v>9</v>
      </c>
      <c r="J18" s="23"/>
      <c r="K18" s="23"/>
      <c r="L18" s="23">
        <v>439</v>
      </c>
      <c r="M18" s="23">
        <v>985</v>
      </c>
      <c r="N18" s="23"/>
      <c r="O18" s="23">
        <v>9</v>
      </c>
      <c r="P18" s="23">
        <v>67</v>
      </c>
      <c r="Q18" s="23"/>
      <c r="R18" s="23">
        <v>54</v>
      </c>
      <c r="S18" s="23">
        <v>1</v>
      </c>
      <c r="T18" s="23"/>
      <c r="U18" s="23">
        <v>9</v>
      </c>
      <c r="V18" s="23">
        <v>25</v>
      </c>
      <c r="W18" s="23"/>
      <c r="X18" s="23">
        <v>6</v>
      </c>
      <c r="Y18" s="23">
        <v>9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32" width="20.85546875" customWidth="1"/>
  </cols>
  <sheetData>
    <row r="1" spans="1:3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11</v>
      </c>
      <c r="M1" s="2" t="s">
        <v>123</v>
      </c>
      <c r="N1" s="2" t="s">
        <v>124</v>
      </c>
      <c r="O1" s="2" t="s">
        <v>125</v>
      </c>
      <c r="P1" s="2" t="s">
        <v>126</v>
      </c>
      <c r="Q1" s="2" t="s">
        <v>127</v>
      </c>
      <c r="R1" s="2" t="s">
        <v>128</v>
      </c>
      <c r="S1" s="2" t="s">
        <v>129</v>
      </c>
      <c r="T1" s="2" t="s">
        <v>130</v>
      </c>
      <c r="U1" s="2" t="s">
        <v>131</v>
      </c>
      <c r="V1" s="2" t="s">
        <v>132</v>
      </c>
      <c r="W1" s="2" t="s">
        <v>31</v>
      </c>
      <c r="X1" s="2" t="s">
        <v>133</v>
      </c>
      <c r="Y1" s="2" t="s">
        <v>134</v>
      </c>
      <c r="Z1" s="2" t="s">
        <v>135</v>
      </c>
      <c r="AA1" s="2" t="s">
        <v>136</v>
      </c>
      <c r="AB1" s="2" t="s">
        <v>137</v>
      </c>
      <c r="AC1" s="2" t="s">
        <v>138</v>
      </c>
      <c r="AD1" s="2" t="s">
        <v>139</v>
      </c>
      <c r="AE1" s="2" t="s">
        <v>27</v>
      </c>
      <c r="AF1" s="2" t="s">
        <v>140</v>
      </c>
    </row>
    <row r="2" spans="1:32" s="1" customFormat="1" ht="14.1" customHeight="1" x14ac:dyDescent="0.2">
      <c r="A2" s="1">
        <v>200017341</v>
      </c>
      <c r="B2" s="17" t="s">
        <v>166</v>
      </c>
      <c r="C2" s="25">
        <v>168</v>
      </c>
      <c r="D2" s="25"/>
      <c r="E2" s="25">
        <v>7</v>
      </c>
      <c r="F2" s="25"/>
      <c r="G2" s="25"/>
      <c r="H2" s="25">
        <v>10</v>
      </c>
      <c r="I2" s="25"/>
      <c r="J2" s="25"/>
      <c r="K2" s="25">
        <v>22</v>
      </c>
      <c r="L2" s="25"/>
      <c r="M2" s="25">
        <v>3</v>
      </c>
      <c r="N2" s="25">
        <v>2</v>
      </c>
      <c r="O2" s="25">
        <v>3</v>
      </c>
      <c r="P2" s="25">
        <v>6</v>
      </c>
      <c r="Q2" s="25">
        <v>4</v>
      </c>
      <c r="R2" s="25">
        <v>6</v>
      </c>
      <c r="S2" s="25">
        <v>15</v>
      </c>
      <c r="T2" s="25">
        <v>5</v>
      </c>
      <c r="U2" s="25">
        <v>28</v>
      </c>
      <c r="V2" s="25">
        <v>2</v>
      </c>
      <c r="W2" s="25">
        <v>5</v>
      </c>
      <c r="X2" s="25">
        <v>6</v>
      </c>
      <c r="Y2" s="25">
        <v>5</v>
      </c>
      <c r="Z2" s="25"/>
      <c r="AA2" s="25">
        <v>9</v>
      </c>
      <c r="AB2" s="25">
        <v>5</v>
      </c>
      <c r="AC2" s="25"/>
      <c r="AD2" s="25">
        <v>24</v>
      </c>
      <c r="AE2" s="25"/>
      <c r="AF2" s="25">
        <v>1</v>
      </c>
    </row>
    <row r="3" spans="1:32" s="1" customFormat="1" ht="18.2" customHeight="1" x14ac:dyDescent="0.2">
      <c r="A3" s="1">
        <v>200022986</v>
      </c>
      <c r="B3" s="7" t="s">
        <v>167</v>
      </c>
      <c r="C3" s="26">
        <v>603</v>
      </c>
      <c r="D3" s="26">
        <v>3</v>
      </c>
      <c r="E3" s="26">
        <v>13</v>
      </c>
      <c r="F3" s="25">
        <v>5</v>
      </c>
      <c r="G3" s="25">
        <v>1</v>
      </c>
      <c r="H3" s="25">
        <v>55</v>
      </c>
      <c r="I3" s="25">
        <v>2</v>
      </c>
      <c r="J3" s="25">
        <v>5</v>
      </c>
      <c r="K3" s="25">
        <v>57</v>
      </c>
      <c r="L3" s="25"/>
      <c r="M3" s="25">
        <v>17</v>
      </c>
      <c r="N3" s="25">
        <v>7</v>
      </c>
      <c r="O3" s="25">
        <v>19</v>
      </c>
      <c r="P3" s="25">
        <v>7</v>
      </c>
      <c r="Q3" s="25">
        <v>22</v>
      </c>
      <c r="R3" s="25">
        <v>23</v>
      </c>
      <c r="S3" s="25">
        <v>129</v>
      </c>
      <c r="T3" s="25">
        <v>10</v>
      </c>
      <c r="U3" s="25">
        <v>97</v>
      </c>
      <c r="V3" s="25">
        <v>5</v>
      </c>
      <c r="W3" s="25">
        <v>19</v>
      </c>
      <c r="X3" s="25">
        <v>11</v>
      </c>
      <c r="Y3" s="25">
        <v>6</v>
      </c>
      <c r="Z3" s="25">
        <v>1</v>
      </c>
      <c r="AA3" s="25">
        <v>16</v>
      </c>
      <c r="AB3" s="25">
        <v>7</v>
      </c>
      <c r="AC3" s="25"/>
      <c r="AD3" s="25">
        <v>51</v>
      </c>
      <c r="AE3" s="25"/>
      <c r="AF3" s="25">
        <v>15</v>
      </c>
    </row>
    <row r="4" spans="1:32" s="1" customFormat="1" ht="22.7" customHeight="1" x14ac:dyDescent="0.2">
      <c r="A4" s="13">
        <v>200042646</v>
      </c>
      <c r="B4" s="22" t="s">
        <v>168</v>
      </c>
      <c r="C4" s="4">
        <v>200</v>
      </c>
      <c r="D4" s="4"/>
      <c r="E4" s="4">
        <v>4</v>
      </c>
      <c r="F4" s="4">
        <v>5</v>
      </c>
      <c r="G4" s="4"/>
      <c r="H4" s="4">
        <v>10</v>
      </c>
      <c r="I4" s="4">
        <v>1</v>
      </c>
      <c r="J4" s="4">
        <v>2</v>
      </c>
      <c r="K4" s="4">
        <v>21</v>
      </c>
      <c r="L4" s="4"/>
      <c r="M4" s="4">
        <v>4</v>
      </c>
      <c r="N4" s="4">
        <v>3</v>
      </c>
      <c r="O4" s="4">
        <v>5</v>
      </c>
      <c r="P4" s="4">
        <v>13</v>
      </c>
      <c r="Q4" s="4">
        <v>20</v>
      </c>
      <c r="R4" s="4">
        <v>6</v>
      </c>
      <c r="S4" s="4">
        <v>22</v>
      </c>
      <c r="T4" s="4">
        <v>4</v>
      </c>
      <c r="U4" s="4">
        <v>22</v>
      </c>
      <c r="V4" s="4">
        <v>3</v>
      </c>
      <c r="W4" s="4">
        <v>1</v>
      </c>
      <c r="X4" s="4">
        <v>8</v>
      </c>
      <c r="Y4" s="4">
        <v>4</v>
      </c>
      <c r="Z4" s="4"/>
      <c r="AA4" s="4">
        <v>11</v>
      </c>
      <c r="AB4" s="4"/>
      <c r="AC4" s="4"/>
      <c r="AD4" s="4">
        <v>29</v>
      </c>
      <c r="AE4" s="4"/>
      <c r="AF4" s="4">
        <v>2</v>
      </c>
    </row>
    <row r="5" spans="1:32" s="1" customFormat="1" ht="14.1" customHeight="1" x14ac:dyDescent="0.2">
      <c r="A5" s="8">
        <v>200042653</v>
      </c>
      <c r="B5" s="16" t="s">
        <v>169</v>
      </c>
      <c r="C5" s="23">
        <v>122</v>
      </c>
      <c r="D5" s="23"/>
      <c r="E5" s="23">
        <v>3</v>
      </c>
      <c r="F5" s="23">
        <v>2</v>
      </c>
      <c r="G5" s="23"/>
      <c r="H5" s="23">
        <v>11</v>
      </c>
      <c r="I5" s="23"/>
      <c r="J5" s="23">
        <v>2</v>
      </c>
      <c r="K5" s="23">
        <v>13</v>
      </c>
      <c r="L5" s="23"/>
      <c r="M5" s="23">
        <v>4</v>
      </c>
      <c r="N5" s="23">
        <v>2</v>
      </c>
      <c r="O5" s="23">
        <v>1</v>
      </c>
      <c r="P5" s="23">
        <v>2</v>
      </c>
      <c r="Q5" s="23">
        <v>4</v>
      </c>
      <c r="R5" s="23">
        <v>10</v>
      </c>
      <c r="S5" s="23">
        <v>24</v>
      </c>
      <c r="T5" s="23">
        <v>1</v>
      </c>
      <c r="U5" s="23">
        <v>19</v>
      </c>
      <c r="V5" s="23">
        <v>1</v>
      </c>
      <c r="W5" s="23">
        <v>5</v>
      </c>
      <c r="X5" s="23">
        <v>4</v>
      </c>
      <c r="Y5" s="23">
        <v>2</v>
      </c>
      <c r="Z5" s="23"/>
      <c r="AA5" s="23">
        <v>3</v>
      </c>
      <c r="AB5" s="23">
        <v>1</v>
      </c>
      <c r="AC5" s="23"/>
      <c r="AD5" s="23">
        <v>7</v>
      </c>
      <c r="AE5" s="23"/>
      <c r="AF5" s="23">
        <v>1</v>
      </c>
    </row>
    <row r="6" spans="1:32" s="1" customFormat="1" ht="14.1" customHeight="1" x14ac:dyDescent="0.2">
      <c r="A6" s="8">
        <v>200066348</v>
      </c>
      <c r="B6" s="16" t="s">
        <v>171</v>
      </c>
      <c r="C6" s="23">
        <v>57</v>
      </c>
      <c r="D6" s="23"/>
      <c r="E6" s="23">
        <v>2</v>
      </c>
      <c r="F6" s="23">
        <v>1</v>
      </c>
      <c r="G6" s="23"/>
      <c r="H6" s="23">
        <v>7</v>
      </c>
      <c r="I6" s="23"/>
      <c r="J6" s="23"/>
      <c r="K6" s="23">
        <v>3</v>
      </c>
      <c r="L6" s="23"/>
      <c r="M6" s="23">
        <v>3</v>
      </c>
      <c r="N6" s="23">
        <v>1</v>
      </c>
      <c r="O6" s="23">
        <v>3</v>
      </c>
      <c r="P6" s="23">
        <v>2</v>
      </c>
      <c r="Q6" s="23">
        <v>2</v>
      </c>
      <c r="R6" s="23">
        <v>3</v>
      </c>
      <c r="S6" s="23">
        <v>5</v>
      </c>
      <c r="T6" s="23">
        <v>1</v>
      </c>
      <c r="U6" s="23">
        <v>6</v>
      </c>
      <c r="V6" s="23">
        <v>1</v>
      </c>
      <c r="W6" s="23">
        <v>1</v>
      </c>
      <c r="X6" s="23">
        <v>2</v>
      </c>
      <c r="Y6" s="23"/>
      <c r="Z6" s="23"/>
      <c r="AA6" s="23">
        <v>3</v>
      </c>
      <c r="AB6" s="23">
        <v>1</v>
      </c>
      <c r="AC6" s="23"/>
      <c r="AD6" s="23">
        <v>10</v>
      </c>
      <c r="AE6" s="23"/>
      <c r="AF6" s="23"/>
    </row>
    <row r="7" spans="1:32" s="1" customFormat="1" ht="14.1" customHeight="1" x14ac:dyDescent="0.2">
      <c r="A7" s="8">
        <v>200066355</v>
      </c>
      <c r="B7" s="16" t="s">
        <v>170</v>
      </c>
      <c r="C7" s="23">
        <v>4708</v>
      </c>
      <c r="D7" s="23">
        <v>7</v>
      </c>
      <c r="E7" s="23">
        <v>95</v>
      </c>
      <c r="F7" s="23">
        <v>36</v>
      </c>
      <c r="G7" s="23">
        <v>13</v>
      </c>
      <c r="H7" s="23">
        <v>248</v>
      </c>
      <c r="I7" s="23">
        <v>18</v>
      </c>
      <c r="J7" s="23">
        <v>27</v>
      </c>
      <c r="K7" s="23">
        <v>525</v>
      </c>
      <c r="L7" s="23"/>
      <c r="M7" s="23">
        <v>102</v>
      </c>
      <c r="N7" s="23">
        <v>22</v>
      </c>
      <c r="O7" s="23">
        <v>71</v>
      </c>
      <c r="P7" s="23">
        <v>131</v>
      </c>
      <c r="Q7" s="23">
        <v>142</v>
      </c>
      <c r="R7" s="23">
        <v>265</v>
      </c>
      <c r="S7" s="23">
        <v>932</v>
      </c>
      <c r="T7" s="23">
        <v>87</v>
      </c>
      <c r="U7" s="23">
        <v>681</v>
      </c>
      <c r="V7" s="23">
        <v>62</v>
      </c>
      <c r="W7" s="23">
        <v>205</v>
      </c>
      <c r="X7" s="23">
        <v>103</v>
      </c>
      <c r="Y7" s="23">
        <v>27</v>
      </c>
      <c r="Z7" s="23">
        <v>5</v>
      </c>
      <c r="AA7" s="23">
        <v>225</v>
      </c>
      <c r="AB7" s="23">
        <v>65</v>
      </c>
      <c r="AC7" s="23">
        <v>3</v>
      </c>
      <c r="AD7" s="23">
        <v>562</v>
      </c>
      <c r="AE7" s="23"/>
      <c r="AF7" s="23">
        <v>49</v>
      </c>
    </row>
    <row r="8" spans="1:32" s="1" customFormat="1" ht="14.1" customHeight="1" x14ac:dyDescent="0.2">
      <c r="A8" s="8">
        <v>200066553</v>
      </c>
      <c r="B8" s="16" t="s">
        <v>172</v>
      </c>
      <c r="C8" s="23">
        <v>18</v>
      </c>
      <c r="D8" s="23"/>
      <c r="E8" s="23">
        <v>2</v>
      </c>
      <c r="F8" s="23"/>
      <c r="G8" s="23"/>
      <c r="H8" s="23">
        <v>2</v>
      </c>
      <c r="I8" s="23"/>
      <c r="J8" s="23"/>
      <c r="K8" s="23">
        <v>1</v>
      </c>
      <c r="L8" s="23"/>
      <c r="M8" s="23">
        <v>1</v>
      </c>
      <c r="N8" s="23"/>
      <c r="O8" s="23"/>
      <c r="P8" s="23">
        <v>2</v>
      </c>
      <c r="Q8" s="23">
        <v>1</v>
      </c>
      <c r="R8" s="23">
        <v>2</v>
      </c>
      <c r="S8" s="23"/>
      <c r="T8" s="23">
        <v>1</v>
      </c>
      <c r="U8" s="23">
        <v>1</v>
      </c>
      <c r="V8" s="23"/>
      <c r="W8" s="23"/>
      <c r="X8" s="23">
        <v>2</v>
      </c>
      <c r="Y8" s="23"/>
      <c r="Z8" s="23"/>
      <c r="AA8" s="23"/>
      <c r="AB8" s="23"/>
      <c r="AC8" s="23"/>
      <c r="AD8" s="23">
        <v>3</v>
      </c>
      <c r="AE8" s="23"/>
      <c r="AF8" s="23"/>
    </row>
    <row r="9" spans="1:32" s="1" customFormat="1" ht="14.1" customHeight="1" x14ac:dyDescent="0.2">
      <c r="A9" s="8">
        <v>200071058</v>
      </c>
      <c r="B9" s="16" t="s">
        <v>173</v>
      </c>
      <c r="C9" s="23">
        <v>215</v>
      </c>
      <c r="D9" s="23"/>
      <c r="E9" s="23">
        <v>4</v>
      </c>
      <c r="F9" s="23">
        <v>1</v>
      </c>
      <c r="G9" s="23"/>
      <c r="H9" s="23">
        <v>14</v>
      </c>
      <c r="I9" s="23">
        <v>1</v>
      </c>
      <c r="J9" s="23">
        <v>1</v>
      </c>
      <c r="K9" s="23">
        <v>14</v>
      </c>
      <c r="L9" s="23"/>
      <c r="M9" s="23">
        <v>3</v>
      </c>
      <c r="N9" s="23">
        <v>3</v>
      </c>
      <c r="O9" s="23">
        <v>7</v>
      </c>
      <c r="P9" s="23">
        <v>7</v>
      </c>
      <c r="Q9" s="23">
        <v>7</v>
      </c>
      <c r="R9" s="23">
        <v>14</v>
      </c>
      <c r="S9" s="23">
        <v>43</v>
      </c>
      <c r="T9" s="23">
        <v>3</v>
      </c>
      <c r="U9" s="23">
        <v>38</v>
      </c>
      <c r="V9" s="23">
        <v>2</v>
      </c>
      <c r="W9" s="23">
        <v>9</v>
      </c>
      <c r="X9" s="23">
        <v>1</v>
      </c>
      <c r="Y9" s="23">
        <v>1</v>
      </c>
      <c r="Z9" s="23"/>
      <c r="AA9" s="23">
        <v>9</v>
      </c>
      <c r="AB9" s="23">
        <v>4</v>
      </c>
      <c r="AC9" s="23"/>
      <c r="AD9" s="23">
        <v>26</v>
      </c>
      <c r="AE9" s="23"/>
      <c r="AF9" s="23">
        <v>3</v>
      </c>
    </row>
    <row r="10" spans="1:32" s="1" customFormat="1" ht="14.1" customHeight="1" x14ac:dyDescent="0.2">
      <c r="A10" s="8">
        <v>243400017</v>
      </c>
      <c r="B10" s="16" t="s">
        <v>174</v>
      </c>
      <c r="C10" s="23">
        <v>25746</v>
      </c>
      <c r="D10" s="23">
        <v>51</v>
      </c>
      <c r="E10" s="23">
        <v>346</v>
      </c>
      <c r="F10" s="23">
        <v>310</v>
      </c>
      <c r="G10" s="23">
        <v>155</v>
      </c>
      <c r="H10" s="23">
        <v>1174</v>
      </c>
      <c r="I10" s="23">
        <v>102</v>
      </c>
      <c r="J10" s="23">
        <v>153</v>
      </c>
      <c r="K10" s="23">
        <v>2793</v>
      </c>
      <c r="L10" s="23"/>
      <c r="M10" s="23">
        <v>533</v>
      </c>
      <c r="N10" s="23">
        <v>174</v>
      </c>
      <c r="O10" s="23">
        <v>666</v>
      </c>
      <c r="P10" s="23">
        <v>536</v>
      </c>
      <c r="Q10" s="23">
        <v>667</v>
      </c>
      <c r="R10" s="23">
        <v>1047</v>
      </c>
      <c r="S10" s="23">
        <v>4799</v>
      </c>
      <c r="T10" s="23">
        <v>322</v>
      </c>
      <c r="U10" s="23">
        <v>4763</v>
      </c>
      <c r="V10" s="23">
        <v>599</v>
      </c>
      <c r="W10" s="23">
        <v>1007</v>
      </c>
      <c r="X10" s="23">
        <v>650</v>
      </c>
      <c r="Y10" s="23">
        <v>120</v>
      </c>
      <c r="Z10" s="23">
        <v>40</v>
      </c>
      <c r="AA10" s="23">
        <v>777</v>
      </c>
      <c r="AB10" s="23">
        <v>405</v>
      </c>
      <c r="AC10" s="23">
        <v>79</v>
      </c>
      <c r="AD10" s="23">
        <v>3041</v>
      </c>
      <c r="AE10" s="23"/>
      <c r="AF10" s="23">
        <v>437</v>
      </c>
    </row>
    <row r="11" spans="1:32" s="1" customFormat="1" ht="14.1" customHeight="1" x14ac:dyDescent="0.2">
      <c r="A11" s="8">
        <v>243400355</v>
      </c>
      <c r="B11" s="16" t="s">
        <v>175</v>
      </c>
      <c r="C11" s="23">
        <v>562</v>
      </c>
      <c r="D11" s="23"/>
      <c r="E11" s="23">
        <v>8</v>
      </c>
      <c r="F11" s="23">
        <v>3</v>
      </c>
      <c r="G11" s="23">
        <v>1</v>
      </c>
      <c r="H11" s="23">
        <v>32</v>
      </c>
      <c r="I11" s="23">
        <v>1</v>
      </c>
      <c r="J11" s="23">
        <v>2</v>
      </c>
      <c r="K11" s="23">
        <v>71</v>
      </c>
      <c r="L11" s="23"/>
      <c r="M11" s="23">
        <v>11</v>
      </c>
      <c r="N11" s="23">
        <v>6</v>
      </c>
      <c r="O11" s="23">
        <v>9</v>
      </c>
      <c r="P11" s="23">
        <v>12</v>
      </c>
      <c r="Q11" s="23">
        <v>18</v>
      </c>
      <c r="R11" s="23">
        <v>29</v>
      </c>
      <c r="S11" s="23">
        <v>100</v>
      </c>
      <c r="T11" s="23">
        <v>9</v>
      </c>
      <c r="U11" s="23">
        <v>88</v>
      </c>
      <c r="V11" s="23">
        <v>7</v>
      </c>
      <c r="W11" s="23">
        <v>18</v>
      </c>
      <c r="X11" s="23">
        <v>14</v>
      </c>
      <c r="Y11" s="23">
        <v>5</v>
      </c>
      <c r="Z11" s="23"/>
      <c r="AA11" s="23">
        <v>33</v>
      </c>
      <c r="AB11" s="23">
        <v>10</v>
      </c>
      <c r="AC11" s="23"/>
      <c r="AD11" s="23">
        <v>67</v>
      </c>
      <c r="AE11" s="23"/>
      <c r="AF11" s="23">
        <v>8</v>
      </c>
    </row>
    <row r="12" spans="1:32" s="1" customFormat="1" ht="14.1" customHeight="1" x14ac:dyDescent="0.2">
      <c r="A12" s="10">
        <v>243400470</v>
      </c>
      <c r="B12" s="19" t="s">
        <v>176</v>
      </c>
      <c r="C12" s="24">
        <v>1482</v>
      </c>
      <c r="D12" s="24">
        <v>3</v>
      </c>
      <c r="E12" s="24">
        <v>36</v>
      </c>
      <c r="F12" s="24">
        <v>16</v>
      </c>
      <c r="G12" s="24">
        <v>4</v>
      </c>
      <c r="H12" s="24">
        <v>87</v>
      </c>
      <c r="I12" s="24">
        <v>3</v>
      </c>
      <c r="J12" s="24">
        <v>5</v>
      </c>
      <c r="K12" s="24">
        <v>170</v>
      </c>
      <c r="L12" s="24"/>
      <c r="M12" s="24">
        <v>28</v>
      </c>
      <c r="N12" s="24">
        <v>3</v>
      </c>
      <c r="O12" s="24">
        <v>38</v>
      </c>
      <c r="P12" s="24">
        <v>24</v>
      </c>
      <c r="Q12" s="24">
        <v>47</v>
      </c>
      <c r="R12" s="24">
        <v>102</v>
      </c>
      <c r="S12" s="24">
        <v>354</v>
      </c>
      <c r="T12" s="24">
        <v>11</v>
      </c>
      <c r="U12" s="24">
        <v>206</v>
      </c>
      <c r="V12" s="24">
        <v>37</v>
      </c>
      <c r="W12" s="24">
        <v>38</v>
      </c>
      <c r="X12" s="24">
        <v>28</v>
      </c>
      <c r="Y12" s="24">
        <v>11</v>
      </c>
      <c r="Z12" s="24"/>
      <c r="AA12" s="24">
        <v>52</v>
      </c>
      <c r="AB12" s="24">
        <v>21</v>
      </c>
      <c r="AC12" s="24"/>
      <c r="AD12" s="24">
        <v>144</v>
      </c>
      <c r="AE12" s="24"/>
      <c r="AF12" s="24">
        <v>14</v>
      </c>
    </row>
    <row r="13" spans="1:32" s="1" customFormat="1" ht="14.1" customHeight="1" x14ac:dyDescent="0.2">
      <c r="A13" s="10">
        <v>243400488</v>
      </c>
      <c r="B13" s="19" t="s">
        <v>177</v>
      </c>
      <c r="C13" s="24">
        <v>436</v>
      </c>
      <c r="D13" s="24">
        <v>4</v>
      </c>
      <c r="E13" s="24">
        <v>11</v>
      </c>
      <c r="F13" s="24">
        <v>5</v>
      </c>
      <c r="G13" s="24"/>
      <c r="H13" s="24">
        <v>40</v>
      </c>
      <c r="I13" s="24"/>
      <c r="J13" s="24">
        <v>1</v>
      </c>
      <c r="K13" s="24">
        <v>32</v>
      </c>
      <c r="L13" s="24"/>
      <c r="M13" s="24">
        <v>14</v>
      </c>
      <c r="N13" s="24">
        <v>4</v>
      </c>
      <c r="O13" s="24">
        <v>9</v>
      </c>
      <c r="P13" s="24">
        <v>10</v>
      </c>
      <c r="Q13" s="24">
        <v>14</v>
      </c>
      <c r="R13" s="24">
        <v>26</v>
      </c>
      <c r="S13" s="24">
        <v>81</v>
      </c>
      <c r="T13" s="24">
        <v>6</v>
      </c>
      <c r="U13" s="24">
        <v>61</v>
      </c>
      <c r="V13" s="24">
        <v>9</v>
      </c>
      <c r="W13" s="24">
        <v>13</v>
      </c>
      <c r="X13" s="24">
        <v>14</v>
      </c>
      <c r="Y13" s="24">
        <v>3</v>
      </c>
      <c r="Z13" s="24"/>
      <c r="AA13" s="24">
        <v>14</v>
      </c>
      <c r="AB13" s="24">
        <v>6</v>
      </c>
      <c r="AC13" s="24"/>
      <c r="AD13" s="24">
        <v>55</v>
      </c>
      <c r="AE13" s="24"/>
      <c r="AF13" s="24">
        <v>4</v>
      </c>
    </row>
    <row r="14" spans="1:32" s="1" customFormat="1" ht="14.1" customHeight="1" x14ac:dyDescent="0.2">
      <c r="A14" s="1">
        <v>243400520</v>
      </c>
      <c r="B14" s="7" t="s">
        <v>184</v>
      </c>
      <c r="C14" s="4">
        <v>1429</v>
      </c>
      <c r="D14" s="4">
        <v>1</v>
      </c>
      <c r="E14" s="4">
        <v>26</v>
      </c>
      <c r="F14" s="4">
        <v>13</v>
      </c>
      <c r="G14" s="4">
        <v>3</v>
      </c>
      <c r="H14" s="4">
        <v>91</v>
      </c>
      <c r="I14" s="4">
        <v>6</v>
      </c>
      <c r="J14" s="4">
        <v>7</v>
      </c>
      <c r="K14" s="4">
        <v>168</v>
      </c>
      <c r="L14" s="4"/>
      <c r="M14" s="4">
        <v>19</v>
      </c>
      <c r="N14" s="4">
        <v>2</v>
      </c>
      <c r="O14" s="4">
        <v>21</v>
      </c>
      <c r="P14" s="4">
        <v>38</v>
      </c>
      <c r="Q14" s="4">
        <v>70</v>
      </c>
      <c r="R14" s="4">
        <v>77</v>
      </c>
      <c r="S14" s="4">
        <v>257</v>
      </c>
      <c r="T14" s="4">
        <v>17</v>
      </c>
      <c r="U14" s="4">
        <v>248</v>
      </c>
      <c r="V14" s="4">
        <v>18</v>
      </c>
      <c r="W14" s="4">
        <v>37</v>
      </c>
      <c r="X14" s="4">
        <v>42</v>
      </c>
      <c r="Y14" s="4">
        <v>14</v>
      </c>
      <c r="Z14" s="4"/>
      <c r="AA14" s="4">
        <v>59</v>
      </c>
      <c r="AB14" s="4">
        <v>29</v>
      </c>
      <c r="AC14" s="4"/>
      <c r="AD14" s="4">
        <v>141</v>
      </c>
      <c r="AE14" s="4"/>
      <c r="AF14" s="4">
        <v>25</v>
      </c>
    </row>
    <row r="15" spans="1:32" s="1" customFormat="1" ht="14.1" customHeight="1" x14ac:dyDescent="0.2">
      <c r="A15" s="1">
        <v>243400694</v>
      </c>
      <c r="B15" s="17" t="s">
        <v>182</v>
      </c>
      <c r="C15" s="25">
        <v>525</v>
      </c>
      <c r="D15" s="25">
        <v>2</v>
      </c>
      <c r="E15" s="25">
        <v>11</v>
      </c>
      <c r="F15" s="25">
        <v>9</v>
      </c>
      <c r="G15" s="25"/>
      <c r="H15" s="25">
        <v>38</v>
      </c>
      <c r="I15" s="25">
        <v>4</v>
      </c>
      <c r="J15" s="25">
        <v>2</v>
      </c>
      <c r="K15" s="25">
        <v>49</v>
      </c>
      <c r="L15" s="25"/>
      <c r="M15" s="25">
        <v>14</v>
      </c>
      <c r="N15" s="25">
        <v>1</v>
      </c>
      <c r="O15" s="25">
        <v>11</v>
      </c>
      <c r="P15" s="25">
        <v>17</v>
      </c>
      <c r="Q15" s="25">
        <v>21</v>
      </c>
      <c r="R15" s="25">
        <v>33</v>
      </c>
      <c r="S15" s="25">
        <v>92</v>
      </c>
      <c r="T15" s="25">
        <v>6</v>
      </c>
      <c r="U15" s="25">
        <v>74</v>
      </c>
      <c r="V15" s="25">
        <v>7</v>
      </c>
      <c r="W15" s="25">
        <v>16</v>
      </c>
      <c r="X15" s="25">
        <v>13</v>
      </c>
      <c r="Y15" s="25">
        <v>7</v>
      </c>
      <c r="Z15" s="25">
        <v>1</v>
      </c>
      <c r="AA15" s="25">
        <v>23</v>
      </c>
      <c r="AB15" s="25">
        <v>9</v>
      </c>
      <c r="AC15" s="25"/>
      <c r="AD15" s="25">
        <v>61</v>
      </c>
      <c r="AE15" s="25"/>
      <c r="AF15" s="25">
        <v>4</v>
      </c>
    </row>
    <row r="16" spans="1:32" s="1" customFormat="1" ht="18.2" customHeight="1" x14ac:dyDescent="0.2">
      <c r="A16" s="1">
        <v>243400736</v>
      </c>
      <c r="B16" s="7" t="s">
        <v>183</v>
      </c>
      <c r="C16" s="26">
        <v>160</v>
      </c>
      <c r="D16" s="26"/>
      <c r="E16" s="26">
        <v>2</v>
      </c>
      <c r="F16" s="25"/>
      <c r="G16" s="25"/>
      <c r="H16" s="25">
        <v>4</v>
      </c>
      <c r="I16" s="25"/>
      <c r="J16" s="25">
        <v>1</v>
      </c>
      <c r="K16" s="25">
        <v>18</v>
      </c>
      <c r="L16" s="25"/>
      <c r="M16" s="25">
        <v>6</v>
      </c>
      <c r="N16" s="25">
        <v>2</v>
      </c>
      <c r="O16" s="25">
        <v>2</v>
      </c>
      <c r="P16" s="25">
        <v>11</v>
      </c>
      <c r="Q16" s="25">
        <v>8</v>
      </c>
      <c r="R16" s="25">
        <v>11</v>
      </c>
      <c r="S16" s="25">
        <v>22</v>
      </c>
      <c r="T16" s="25">
        <v>3</v>
      </c>
      <c r="U16" s="25">
        <v>25</v>
      </c>
      <c r="V16" s="25">
        <v>4</v>
      </c>
      <c r="W16" s="25">
        <v>6</v>
      </c>
      <c r="X16" s="25">
        <v>3</v>
      </c>
      <c r="Y16" s="25">
        <v>1</v>
      </c>
      <c r="Z16" s="25"/>
      <c r="AA16" s="25">
        <v>8</v>
      </c>
      <c r="AB16" s="25">
        <v>4</v>
      </c>
      <c r="AC16" s="25"/>
      <c r="AD16" s="25">
        <v>17</v>
      </c>
      <c r="AE16" s="25"/>
      <c r="AF16" s="25">
        <v>2</v>
      </c>
    </row>
    <row r="17" spans="1:32" s="1" customFormat="1" ht="22.7" customHeight="1" x14ac:dyDescent="0.2">
      <c r="A17" s="36" t="s">
        <v>181</v>
      </c>
      <c r="B17" s="22" t="s">
        <v>180</v>
      </c>
      <c r="C17" s="4">
        <v>4537</v>
      </c>
      <c r="D17" s="4">
        <v>3</v>
      </c>
      <c r="E17" s="4">
        <v>95</v>
      </c>
      <c r="F17" s="4">
        <v>64</v>
      </c>
      <c r="G17" s="4">
        <v>5</v>
      </c>
      <c r="H17" s="4">
        <v>202</v>
      </c>
      <c r="I17" s="4">
        <v>7</v>
      </c>
      <c r="J17" s="4">
        <v>22</v>
      </c>
      <c r="K17" s="4">
        <v>569</v>
      </c>
      <c r="L17" s="4"/>
      <c r="M17" s="4">
        <v>120</v>
      </c>
      <c r="N17" s="4">
        <v>33</v>
      </c>
      <c r="O17" s="4">
        <v>57</v>
      </c>
      <c r="P17" s="4">
        <v>174</v>
      </c>
      <c r="Q17" s="4">
        <v>237</v>
      </c>
      <c r="R17" s="4">
        <v>174</v>
      </c>
      <c r="S17" s="4">
        <v>655</v>
      </c>
      <c r="T17" s="4">
        <v>85</v>
      </c>
      <c r="U17" s="4">
        <v>774</v>
      </c>
      <c r="V17" s="4">
        <v>49</v>
      </c>
      <c r="W17" s="4">
        <v>190</v>
      </c>
      <c r="X17" s="4">
        <v>169</v>
      </c>
      <c r="Y17" s="4">
        <v>17</v>
      </c>
      <c r="Z17" s="4">
        <v>2</v>
      </c>
      <c r="AA17" s="4">
        <v>230</v>
      </c>
      <c r="AB17" s="4">
        <v>87</v>
      </c>
      <c r="AC17" s="4">
        <v>1</v>
      </c>
      <c r="AD17" s="4">
        <v>435</v>
      </c>
      <c r="AE17" s="4"/>
      <c r="AF17" s="4">
        <v>81</v>
      </c>
    </row>
    <row r="18" spans="1:32" s="1" customFormat="1" ht="14.1" customHeight="1" x14ac:dyDescent="0.2">
      <c r="A18" s="35" t="s">
        <v>179</v>
      </c>
      <c r="B18" s="16" t="s">
        <v>178</v>
      </c>
      <c r="C18" s="23">
        <v>2006</v>
      </c>
      <c r="D18" s="23">
        <v>2</v>
      </c>
      <c r="E18" s="23">
        <v>41</v>
      </c>
      <c r="F18" s="23">
        <v>44</v>
      </c>
      <c r="G18" s="23">
        <v>21</v>
      </c>
      <c r="H18" s="23">
        <v>110</v>
      </c>
      <c r="I18" s="23">
        <v>11</v>
      </c>
      <c r="J18" s="23">
        <v>8</v>
      </c>
      <c r="K18" s="23">
        <v>210</v>
      </c>
      <c r="L18" s="23"/>
      <c r="M18" s="23">
        <v>50</v>
      </c>
      <c r="N18" s="23">
        <v>12</v>
      </c>
      <c r="O18" s="23">
        <v>26</v>
      </c>
      <c r="P18" s="23">
        <v>60</v>
      </c>
      <c r="Q18" s="23">
        <v>83</v>
      </c>
      <c r="R18" s="23">
        <v>124</v>
      </c>
      <c r="S18" s="23">
        <v>330</v>
      </c>
      <c r="T18" s="23">
        <v>28</v>
      </c>
      <c r="U18" s="23">
        <v>293</v>
      </c>
      <c r="V18" s="23">
        <v>27</v>
      </c>
      <c r="W18" s="23">
        <v>77</v>
      </c>
      <c r="X18" s="23">
        <v>51</v>
      </c>
      <c r="Y18" s="23">
        <v>12</v>
      </c>
      <c r="Z18" s="23">
        <v>5</v>
      </c>
      <c r="AA18" s="23">
        <v>85</v>
      </c>
      <c r="AB18" s="23">
        <v>22</v>
      </c>
      <c r="AC18" s="23"/>
      <c r="AD18" s="23">
        <v>252</v>
      </c>
      <c r="AE18" s="23"/>
      <c r="AF18" s="23">
        <v>22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6" width="10.140625" customWidth="1"/>
    <col min="7" max="7" width="10" customWidth="1"/>
    <col min="8" max="10" width="10.140625" customWidth="1"/>
    <col min="11" max="11" width="0.85546875" customWidth="1"/>
    <col min="12" max="17" width="10.140625" customWidth="1"/>
  </cols>
  <sheetData>
    <row r="1" spans="1:17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141</v>
      </c>
      <c r="E1" s="2" t="s">
        <v>142</v>
      </c>
      <c r="F1" s="2" t="s">
        <v>143</v>
      </c>
      <c r="G1" s="2" t="s">
        <v>144</v>
      </c>
      <c r="H1" s="2" t="s">
        <v>145</v>
      </c>
      <c r="I1" s="2" t="s">
        <v>55</v>
      </c>
      <c r="J1" s="2" t="s">
        <v>27</v>
      </c>
      <c r="L1" s="2" t="s">
        <v>146</v>
      </c>
      <c r="M1" s="2" t="s">
        <v>147</v>
      </c>
      <c r="N1" s="2" t="s">
        <v>148</v>
      </c>
      <c r="O1" s="2" t="s">
        <v>149</v>
      </c>
      <c r="P1" s="2" t="s">
        <v>55</v>
      </c>
      <c r="Q1" s="2" t="s">
        <v>27</v>
      </c>
    </row>
    <row r="2" spans="1:17" s="1" customFormat="1" ht="14.1" customHeight="1" x14ac:dyDescent="0.2">
      <c r="A2" s="10">
        <v>200017341</v>
      </c>
      <c r="B2" s="19" t="s">
        <v>166</v>
      </c>
      <c r="C2" s="24">
        <v>168</v>
      </c>
      <c r="D2" s="24"/>
      <c r="E2" s="24"/>
      <c r="F2" s="24"/>
      <c r="G2" s="24"/>
      <c r="H2" s="24">
        <v>168</v>
      </c>
      <c r="I2" s="24"/>
      <c r="J2" s="24"/>
      <c r="L2" s="24"/>
      <c r="M2" s="24"/>
      <c r="N2" s="24"/>
      <c r="O2" s="24">
        <v>168</v>
      </c>
      <c r="P2" s="24"/>
      <c r="Q2" s="24"/>
    </row>
    <row r="3" spans="1:17" s="1" customFormat="1" ht="14.1" customHeight="1" x14ac:dyDescent="0.2">
      <c r="A3" s="1">
        <v>200022986</v>
      </c>
      <c r="B3" s="7" t="s">
        <v>167</v>
      </c>
      <c r="C3" s="4">
        <v>603</v>
      </c>
      <c r="D3" s="4">
        <v>354</v>
      </c>
      <c r="E3" s="4"/>
      <c r="F3" s="4">
        <v>106</v>
      </c>
      <c r="G3" s="4"/>
      <c r="H3" s="4">
        <v>143</v>
      </c>
      <c r="I3" s="4"/>
      <c r="J3" s="4"/>
      <c r="L3" s="4"/>
      <c r="M3" s="4"/>
      <c r="N3" s="4">
        <v>35</v>
      </c>
      <c r="O3" s="4">
        <v>568</v>
      </c>
      <c r="P3" s="4"/>
      <c r="Q3" s="4"/>
    </row>
    <row r="4" spans="1:17" s="1" customFormat="1" ht="32.450000000000003" customHeight="1" x14ac:dyDescent="0.2">
      <c r="A4" s="1">
        <v>200042646</v>
      </c>
      <c r="B4" s="7" t="s">
        <v>168</v>
      </c>
      <c r="C4" s="37">
        <v>200</v>
      </c>
      <c r="D4" s="37"/>
      <c r="E4" s="37"/>
      <c r="F4" s="37"/>
      <c r="G4" s="37"/>
      <c r="H4" s="25">
        <v>200</v>
      </c>
      <c r="I4" s="25"/>
      <c r="J4" s="25"/>
      <c r="L4" s="25"/>
      <c r="M4" s="25"/>
      <c r="N4" s="25"/>
      <c r="O4" s="25">
        <v>200</v>
      </c>
      <c r="P4" s="25"/>
      <c r="Q4" s="25"/>
    </row>
    <row r="5" spans="1:17" s="1" customFormat="1" ht="22.7" customHeight="1" x14ac:dyDescent="0.2">
      <c r="A5" s="13">
        <v>200042653</v>
      </c>
      <c r="B5" s="22" t="s">
        <v>169</v>
      </c>
      <c r="C5" s="4">
        <v>122</v>
      </c>
      <c r="D5" s="4"/>
      <c r="E5" s="4"/>
      <c r="F5" s="4"/>
      <c r="G5" s="4"/>
      <c r="H5" s="4">
        <v>122</v>
      </c>
      <c r="I5" s="4"/>
      <c r="J5" s="4"/>
      <c r="L5" s="4"/>
      <c r="M5" s="4"/>
      <c r="N5" s="4"/>
      <c r="O5" s="4">
        <v>122</v>
      </c>
      <c r="P5" s="4"/>
      <c r="Q5" s="4"/>
    </row>
    <row r="6" spans="1:17" s="1" customFormat="1" ht="14.1" customHeight="1" x14ac:dyDescent="0.2">
      <c r="A6" s="8">
        <v>200066348</v>
      </c>
      <c r="B6" s="16" t="s">
        <v>171</v>
      </c>
      <c r="C6" s="23">
        <v>57</v>
      </c>
      <c r="D6" s="23"/>
      <c r="E6" s="23"/>
      <c r="F6" s="23"/>
      <c r="G6" s="23"/>
      <c r="H6" s="23">
        <v>57</v>
      </c>
      <c r="I6" s="23"/>
      <c r="J6" s="23"/>
      <c r="L6" s="23"/>
      <c r="M6" s="23"/>
      <c r="N6" s="23"/>
      <c r="O6" s="23">
        <v>57</v>
      </c>
      <c r="P6" s="23"/>
      <c r="Q6" s="23"/>
    </row>
    <row r="7" spans="1:17" s="1" customFormat="1" ht="14.1" customHeight="1" x14ac:dyDescent="0.2">
      <c r="A7" s="8">
        <v>200066355</v>
      </c>
      <c r="B7" s="16" t="s">
        <v>170</v>
      </c>
      <c r="C7" s="23">
        <v>4708</v>
      </c>
      <c r="D7" s="23"/>
      <c r="E7" s="23"/>
      <c r="F7" s="23">
        <v>4520</v>
      </c>
      <c r="G7" s="23">
        <v>142</v>
      </c>
      <c r="H7" s="23">
        <v>46</v>
      </c>
      <c r="I7" s="23"/>
      <c r="J7" s="23"/>
      <c r="L7" s="23"/>
      <c r="M7" s="23"/>
      <c r="N7" s="23"/>
      <c r="O7" s="23">
        <v>4708</v>
      </c>
      <c r="P7" s="23"/>
      <c r="Q7" s="23"/>
    </row>
    <row r="8" spans="1:17" s="1" customFormat="1" ht="14.1" customHeight="1" x14ac:dyDescent="0.2">
      <c r="A8" s="8">
        <v>200066553</v>
      </c>
      <c r="B8" s="16" t="s">
        <v>172</v>
      </c>
      <c r="C8" s="23">
        <v>18</v>
      </c>
      <c r="D8" s="23"/>
      <c r="E8" s="23"/>
      <c r="F8" s="23"/>
      <c r="G8" s="23"/>
      <c r="H8" s="23">
        <v>18</v>
      </c>
      <c r="I8" s="23"/>
      <c r="J8" s="23"/>
      <c r="L8" s="23"/>
      <c r="M8" s="23"/>
      <c r="N8" s="23"/>
      <c r="O8" s="23">
        <v>18</v>
      </c>
      <c r="P8" s="23"/>
      <c r="Q8" s="23"/>
    </row>
    <row r="9" spans="1:17" s="1" customFormat="1" ht="14.1" customHeight="1" x14ac:dyDescent="0.2">
      <c r="A9" s="8">
        <v>200071058</v>
      </c>
      <c r="B9" s="16" t="s">
        <v>173</v>
      </c>
      <c r="C9" s="23">
        <v>215</v>
      </c>
      <c r="D9" s="23"/>
      <c r="E9" s="23"/>
      <c r="F9" s="23"/>
      <c r="G9" s="23"/>
      <c r="H9" s="23">
        <v>215</v>
      </c>
      <c r="I9" s="23"/>
      <c r="J9" s="23"/>
      <c r="L9" s="23"/>
      <c r="M9" s="23"/>
      <c r="N9" s="23"/>
      <c r="O9" s="23">
        <v>215</v>
      </c>
      <c r="P9" s="23"/>
      <c r="Q9" s="23"/>
    </row>
    <row r="10" spans="1:17" s="1" customFormat="1" ht="14.1" customHeight="1" x14ac:dyDescent="0.2">
      <c r="A10" s="8">
        <v>243400017</v>
      </c>
      <c r="B10" s="16" t="s">
        <v>174</v>
      </c>
      <c r="C10" s="23">
        <v>25746</v>
      </c>
      <c r="D10" s="23">
        <v>24288</v>
      </c>
      <c r="E10" s="23"/>
      <c r="F10" s="23">
        <v>1312</v>
      </c>
      <c r="G10" s="23"/>
      <c r="H10" s="23">
        <v>146</v>
      </c>
      <c r="I10" s="23"/>
      <c r="J10" s="23"/>
      <c r="L10" s="23"/>
      <c r="M10" s="23"/>
      <c r="N10" s="23">
        <v>22251</v>
      </c>
      <c r="O10" s="23">
        <v>3495</v>
      </c>
      <c r="P10" s="23"/>
      <c r="Q10" s="23"/>
    </row>
    <row r="11" spans="1:17" s="1" customFormat="1" ht="14.1" customHeight="1" x14ac:dyDescent="0.2">
      <c r="A11" s="10">
        <v>243400355</v>
      </c>
      <c r="B11" s="19" t="s">
        <v>175</v>
      </c>
      <c r="C11" s="24">
        <v>562</v>
      </c>
      <c r="D11" s="24"/>
      <c r="E11" s="24"/>
      <c r="F11" s="24"/>
      <c r="G11" s="24"/>
      <c r="H11" s="24">
        <v>562</v>
      </c>
      <c r="I11" s="24"/>
      <c r="J11" s="24"/>
      <c r="L11" s="24"/>
      <c r="M11" s="24"/>
      <c r="N11" s="24"/>
      <c r="O11" s="24">
        <v>562</v>
      </c>
      <c r="P11" s="24"/>
      <c r="Q11" s="24"/>
    </row>
    <row r="12" spans="1:17" s="1" customFormat="1" ht="14.1" customHeight="1" x14ac:dyDescent="0.2">
      <c r="A12" s="10">
        <v>243400470</v>
      </c>
      <c r="B12" s="19" t="s">
        <v>176</v>
      </c>
      <c r="C12" s="24">
        <v>1482</v>
      </c>
      <c r="D12" s="24">
        <v>1192</v>
      </c>
      <c r="E12" s="24"/>
      <c r="F12" s="24">
        <v>84</v>
      </c>
      <c r="G12" s="24">
        <v>206</v>
      </c>
      <c r="H12" s="24"/>
      <c r="I12" s="24"/>
      <c r="J12" s="24"/>
      <c r="L12" s="24"/>
      <c r="M12" s="24"/>
      <c r="N12" s="24"/>
      <c r="O12" s="24">
        <v>1482</v>
      </c>
      <c r="P12" s="24"/>
      <c r="Q12" s="24"/>
    </row>
    <row r="13" spans="1:17" s="1" customFormat="1" ht="14.1" customHeight="1" x14ac:dyDescent="0.2">
      <c r="A13" s="1">
        <v>243400488</v>
      </c>
      <c r="B13" s="7" t="s">
        <v>177</v>
      </c>
      <c r="C13" s="4">
        <v>436</v>
      </c>
      <c r="D13" s="4"/>
      <c r="E13" s="4"/>
      <c r="F13" s="4"/>
      <c r="G13" s="4">
        <v>196</v>
      </c>
      <c r="H13" s="4">
        <v>240</v>
      </c>
      <c r="I13" s="4"/>
      <c r="J13" s="4"/>
      <c r="L13" s="4"/>
      <c r="M13" s="4"/>
      <c r="N13" s="4"/>
      <c r="O13" s="4">
        <v>436</v>
      </c>
      <c r="P13" s="4"/>
      <c r="Q13" s="4"/>
    </row>
    <row r="14" spans="1:17" s="1" customFormat="1" ht="32.450000000000003" customHeight="1" x14ac:dyDescent="0.2">
      <c r="A14" s="1">
        <v>243400520</v>
      </c>
      <c r="B14" s="7" t="s">
        <v>184</v>
      </c>
      <c r="C14" s="37">
        <v>1429</v>
      </c>
      <c r="D14" s="37"/>
      <c r="E14" s="37"/>
      <c r="F14" s="37">
        <v>1388</v>
      </c>
      <c r="G14" s="37"/>
      <c r="H14" s="25">
        <v>41</v>
      </c>
      <c r="I14" s="25"/>
      <c r="J14" s="25"/>
      <c r="L14" s="25"/>
      <c r="M14" s="25"/>
      <c r="N14" s="25"/>
      <c r="O14" s="25">
        <v>1429</v>
      </c>
      <c r="P14" s="25"/>
      <c r="Q14" s="25"/>
    </row>
    <row r="15" spans="1:17" s="1" customFormat="1" ht="22.7" customHeight="1" x14ac:dyDescent="0.2">
      <c r="A15" s="13">
        <v>243400694</v>
      </c>
      <c r="B15" s="22" t="s">
        <v>182</v>
      </c>
      <c r="C15" s="4">
        <v>525</v>
      </c>
      <c r="D15" s="4"/>
      <c r="E15" s="4"/>
      <c r="F15" s="4"/>
      <c r="G15" s="4"/>
      <c r="H15" s="4">
        <v>525</v>
      </c>
      <c r="I15" s="4"/>
      <c r="J15" s="4"/>
      <c r="L15" s="4"/>
      <c r="M15" s="4"/>
      <c r="N15" s="4"/>
      <c r="O15" s="4">
        <v>525</v>
      </c>
      <c r="P15" s="4"/>
      <c r="Q15" s="4"/>
    </row>
    <row r="16" spans="1:17" s="1" customFormat="1" ht="14.1" customHeight="1" x14ac:dyDescent="0.2">
      <c r="A16" s="8">
        <v>243400736</v>
      </c>
      <c r="B16" s="16" t="s">
        <v>183</v>
      </c>
      <c r="C16" s="23">
        <v>160</v>
      </c>
      <c r="D16" s="23"/>
      <c r="E16" s="23"/>
      <c r="F16" s="23"/>
      <c r="G16" s="23"/>
      <c r="H16" s="23">
        <v>160</v>
      </c>
      <c r="I16" s="23"/>
      <c r="J16" s="23"/>
      <c r="L16" s="23"/>
      <c r="M16" s="23"/>
      <c r="N16" s="23"/>
      <c r="O16" s="23">
        <v>160</v>
      </c>
      <c r="P16" s="23"/>
      <c r="Q16" s="23"/>
    </row>
    <row r="17" spans="1:17" s="1" customFormat="1" ht="14.1" customHeight="1" x14ac:dyDescent="0.2">
      <c r="A17" s="35" t="s">
        <v>181</v>
      </c>
      <c r="B17" s="16" t="s">
        <v>180</v>
      </c>
      <c r="C17" s="23">
        <v>4537</v>
      </c>
      <c r="D17" s="23"/>
      <c r="E17" s="23"/>
      <c r="F17" s="23">
        <v>454</v>
      </c>
      <c r="G17" s="23">
        <v>3885</v>
      </c>
      <c r="H17" s="23">
        <v>198</v>
      </c>
      <c r="I17" s="23"/>
      <c r="J17" s="23"/>
      <c r="L17" s="23"/>
      <c r="M17" s="23"/>
      <c r="N17" s="23"/>
      <c r="O17" s="23">
        <v>4537</v>
      </c>
      <c r="P17" s="23"/>
      <c r="Q17" s="23"/>
    </row>
    <row r="18" spans="1:17" s="1" customFormat="1" ht="14.1" customHeight="1" x14ac:dyDescent="0.2">
      <c r="A18" s="35" t="s">
        <v>179</v>
      </c>
      <c r="B18" s="16" t="s">
        <v>178</v>
      </c>
      <c r="C18" s="23">
        <v>2006</v>
      </c>
      <c r="D18" s="23"/>
      <c r="E18" s="23"/>
      <c r="F18" s="23">
        <v>1163</v>
      </c>
      <c r="G18" s="23"/>
      <c r="H18" s="23">
        <v>843</v>
      </c>
      <c r="I18" s="23"/>
      <c r="J18" s="23"/>
      <c r="L18" s="23"/>
      <c r="M18" s="23"/>
      <c r="N18" s="23"/>
      <c r="O18" s="23">
        <v>2006</v>
      </c>
      <c r="P18" s="23"/>
      <c r="Q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12" width="15.42578125" customWidth="1"/>
  </cols>
  <sheetData>
    <row r="1" spans="1:1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151</v>
      </c>
      <c r="E1" s="2" t="s">
        <v>152</v>
      </c>
      <c r="F1" s="2" t="s">
        <v>153</v>
      </c>
      <c r="G1" s="2" t="s">
        <v>154</v>
      </c>
      <c r="H1" s="2" t="s">
        <v>155</v>
      </c>
      <c r="I1" s="2" t="s">
        <v>156</v>
      </c>
      <c r="J1" s="2" t="s">
        <v>157</v>
      </c>
      <c r="K1" s="2" t="s">
        <v>55</v>
      </c>
      <c r="L1" s="2" t="s">
        <v>158</v>
      </c>
    </row>
    <row r="2" spans="1:12" s="1" customFormat="1" ht="14.1" customHeight="1" x14ac:dyDescent="0.2">
      <c r="A2" s="1">
        <v>200017341</v>
      </c>
      <c r="B2" s="17" t="s">
        <v>166</v>
      </c>
      <c r="C2" s="25">
        <v>168</v>
      </c>
      <c r="D2" s="25">
        <v>46</v>
      </c>
      <c r="E2" s="25"/>
      <c r="F2" s="25">
        <v>32</v>
      </c>
      <c r="G2" s="25">
        <v>25</v>
      </c>
      <c r="H2" s="25">
        <v>7</v>
      </c>
      <c r="I2" s="25">
        <v>22</v>
      </c>
      <c r="J2" s="25">
        <v>28</v>
      </c>
      <c r="K2" s="25">
        <v>8</v>
      </c>
      <c r="L2" s="25"/>
    </row>
    <row r="3" spans="1:12" s="1" customFormat="1" ht="18.2" customHeight="1" x14ac:dyDescent="0.2">
      <c r="A3" s="1">
        <v>200022986</v>
      </c>
      <c r="B3" s="7" t="s">
        <v>167</v>
      </c>
      <c r="C3" s="26">
        <v>603</v>
      </c>
      <c r="D3" s="26">
        <v>367</v>
      </c>
      <c r="E3" s="26">
        <v>1</v>
      </c>
      <c r="F3" s="25">
        <v>33</v>
      </c>
      <c r="G3" s="25">
        <v>54</v>
      </c>
      <c r="H3" s="25">
        <v>11</v>
      </c>
      <c r="I3" s="25">
        <v>60</v>
      </c>
      <c r="J3" s="25">
        <v>57</v>
      </c>
      <c r="K3" s="25">
        <v>20</v>
      </c>
      <c r="L3" s="25"/>
    </row>
    <row r="4" spans="1:12" s="1" customFormat="1" ht="22.7" customHeight="1" x14ac:dyDescent="0.2">
      <c r="A4" s="13">
        <v>200042646</v>
      </c>
      <c r="B4" s="22" t="s">
        <v>168</v>
      </c>
      <c r="C4" s="4">
        <v>200</v>
      </c>
      <c r="D4" s="4">
        <v>49</v>
      </c>
      <c r="E4" s="4">
        <v>1</v>
      </c>
      <c r="F4" s="4">
        <v>36</v>
      </c>
      <c r="G4" s="4">
        <v>17</v>
      </c>
      <c r="H4" s="4">
        <v>9</v>
      </c>
      <c r="I4" s="4">
        <v>33</v>
      </c>
      <c r="J4" s="4">
        <v>39</v>
      </c>
      <c r="K4" s="4">
        <v>16</v>
      </c>
      <c r="L4" s="4"/>
    </row>
    <row r="5" spans="1:12" s="1" customFormat="1" ht="14.1" customHeight="1" x14ac:dyDescent="0.2">
      <c r="A5" s="8">
        <v>200042653</v>
      </c>
      <c r="B5" s="16" t="s">
        <v>169</v>
      </c>
      <c r="C5" s="23">
        <v>122</v>
      </c>
      <c r="D5" s="23">
        <v>41</v>
      </c>
      <c r="E5" s="23"/>
      <c r="F5" s="23">
        <v>13</v>
      </c>
      <c r="G5" s="23">
        <v>16</v>
      </c>
      <c r="H5" s="23">
        <v>5</v>
      </c>
      <c r="I5" s="23">
        <v>19</v>
      </c>
      <c r="J5" s="23">
        <v>23</v>
      </c>
      <c r="K5" s="23">
        <v>5</v>
      </c>
      <c r="L5" s="23"/>
    </row>
    <row r="6" spans="1:12" s="1" customFormat="1" ht="14.1" customHeight="1" x14ac:dyDescent="0.2">
      <c r="A6" s="8">
        <v>200066348</v>
      </c>
      <c r="B6" s="16" t="s">
        <v>171</v>
      </c>
      <c r="C6" s="23">
        <v>57</v>
      </c>
      <c r="D6" s="23">
        <v>16</v>
      </c>
      <c r="E6" s="23"/>
      <c r="F6" s="23">
        <v>9</v>
      </c>
      <c r="G6" s="23">
        <v>5</v>
      </c>
      <c r="H6" s="23">
        <v>1</v>
      </c>
      <c r="I6" s="23">
        <v>8</v>
      </c>
      <c r="J6" s="23">
        <v>14</v>
      </c>
      <c r="K6" s="23">
        <v>4</v>
      </c>
      <c r="L6" s="23"/>
    </row>
    <row r="7" spans="1:12" s="1" customFormat="1" ht="14.1" customHeight="1" x14ac:dyDescent="0.2">
      <c r="A7" s="8">
        <v>200066355</v>
      </c>
      <c r="B7" s="16" t="s">
        <v>170</v>
      </c>
      <c r="C7" s="23">
        <v>4708</v>
      </c>
      <c r="D7" s="23">
        <v>1976</v>
      </c>
      <c r="E7" s="23">
        <v>9</v>
      </c>
      <c r="F7" s="23">
        <v>576</v>
      </c>
      <c r="G7" s="23">
        <v>436</v>
      </c>
      <c r="H7" s="23">
        <v>131</v>
      </c>
      <c r="I7" s="23">
        <v>768</v>
      </c>
      <c r="J7" s="23">
        <v>646</v>
      </c>
      <c r="K7" s="23">
        <v>166</v>
      </c>
      <c r="L7" s="23"/>
    </row>
    <row r="8" spans="1:12" s="1" customFormat="1" ht="14.1" customHeight="1" x14ac:dyDescent="0.2">
      <c r="A8" s="8">
        <v>200066553</v>
      </c>
      <c r="B8" s="16" t="s">
        <v>172</v>
      </c>
      <c r="C8" s="23">
        <v>18</v>
      </c>
      <c r="D8" s="23">
        <v>7</v>
      </c>
      <c r="E8" s="23"/>
      <c r="F8" s="23">
        <v>3</v>
      </c>
      <c r="G8" s="23">
        <v>2</v>
      </c>
      <c r="H8" s="23"/>
      <c r="I8" s="23">
        <v>3</v>
      </c>
      <c r="J8" s="23">
        <v>2</v>
      </c>
      <c r="K8" s="23">
        <v>1</v>
      </c>
      <c r="L8" s="23"/>
    </row>
    <row r="9" spans="1:12" s="1" customFormat="1" ht="14.1" customHeight="1" x14ac:dyDescent="0.2">
      <c r="A9" s="8">
        <v>200071058</v>
      </c>
      <c r="B9" s="16" t="s">
        <v>173</v>
      </c>
      <c r="C9" s="23">
        <v>215</v>
      </c>
      <c r="D9" s="23">
        <v>86</v>
      </c>
      <c r="E9" s="23">
        <v>1</v>
      </c>
      <c r="F9" s="23">
        <v>25</v>
      </c>
      <c r="G9" s="23">
        <v>20</v>
      </c>
      <c r="H9" s="23">
        <v>6</v>
      </c>
      <c r="I9" s="23">
        <v>43</v>
      </c>
      <c r="J9" s="23">
        <v>21</v>
      </c>
      <c r="K9" s="23">
        <v>13</v>
      </c>
      <c r="L9" s="23"/>
    </row>
    <row r="10" spans="1:12" s="1" customFormat="1" ht="14.1" customHeight="1" x14ac:dyDescent="0.2">
      <c r="A10" s="8">
        <v>243400017</v>
      </c>
      <c r="B10" s="16" t="s">
        <v>174</v>
      </c>
      <c r="C10" s="23">
        <v>25746</v>
      </c>
      <c r="D10" s="23">
        <v>12860</v>
      </c>
      <c r="E10" s="23">
        <v>93</v>
      </c>
      <c r="F10" s="23">
        <v>3023</v>
      </c>
      <c r="G10" s="23">
        <v>1962</v>
      </c>
      <c r="H10" s="23">
        <v>817</v>
      </c>
      <c r="I10" s="23">
        <v>2274</v>
      </c>
      <c r="J10" s="23">
        <v>3708</v>
      </c>
      <c r="K10" s="23">
        <v>1009</v>
      </c>
      <c r="L10" s="23"/>
    </row>
    <row r="11" spans="1:12" s="1" customFormat="1" ht="14.1" customHeight="1" x14ac:dyDescent="0.2">
      <c r="A11" s="8">
        <v>243400355</v>
      </c>
      <c r="B11" s="16" t="s">
        <v>175</v>
      </c>
      <c r="C11" s="23">
        <v>562</v>
      </c>
      <c r="D11" s="23">
        <v>194</v>
      </c>
      <c r="E11" s="23">
        <v>3</v>
      </c>
      <c r="F11" s="23">
        <v>72</v>
      </c>
      <c r="G11" s="23">
        <v>62</v>
      </c>
      <c r="H11" s="23">
        <v>18</v>
      </c>
      <c r="I11" s="23">
        <v>82</v>
      </c>
      <c r="J11" s="23">
        <v>109</v>
      </c>
      <c r="K11" s="23">
        <v>22</v>
      </c>
      <c r="L11" s="23"/>
    </row>
    <row r="12" spans="1:12" s="1" customFormat="1" ht="14.1" customHeight="1" x14ac:dyDescent="0.2">
      <c r="A12" s="10">
        <v>243400470</v>
      </c>
      <c r="B12" s="19" t="s">
        <v>176</v>
      </c>
      <c r="C12" s="24">
        <v>1482</v>
      </c>
      <c r="D12" s="24">
        <v>751</v>
      </c>
      <c r="E12" s="24">
        <v>2</v>
      </c>
      <c r="F12" s="24">
        <v>116</v>
      </c>
      <c r="G12" s="24">
        <v>117</v>
      </c>
      <c r="H12" s="24">
        <v>31</v>
      </c>
      <c r="I12" s="24">
        <v>242</v>
      </c>
      <c r="J12" s="24">
        <v>150</v>
      </c>
      <c r="K12" s="24">
        <v>73</v>
      </c>
      <c r="L12" s="24"/>
    </row>
    <row r="13" spans="1:12" s="1" customFormat="1" ht="14.1" customHeight="1" x14ac:dyDescent="0.2">
      <c r="A13" s="10">
        <v>243400488</v>
      </c>
      <c r="B13" s="19" t="s">
        <v>177</v>
      </c>
      <c r="C13" s="24">
        <v>436</v>
      </c>
      <c r="D13" s="24">
        <v>184</v>
      </c>
      <c r="E13" s="24"/>
      <c r="F13" s="24">
        <v>50</v>
      </c>
      <c r="G13" s="24">
        <v>70</v>
      </c>
      <c r="H13" s="24">
        <v>9</v>
      </c>
      <c r="I13" s="24">
        <v>52</v>
      </c>
      <c r="J13" s="24">
        <v>53</v>
      </c>
      <c r="K13" s="24">
        <v>18</v>
      </c>
      <c r="L13" s="24"/>
    </row>
    <row r="14" spans="1:12" s="1" customFormat="1" ht="14.1" customHeight="1" x14ac:dyDescent="0.2">
      <c r="A14" s="1">
        <v>243400520</v>
      </c>
      <c r="B14" s="7" t="s">
        <v>184</v>
      </c>
      <c r="C14" s="4">
        <v>1429</v>
      </c>
      <c r="D14" s="4">
        <v>661</v>
      </c>
      <c r="E14" s="4">
        <v>3</v>
      </c>
      <c r="F14" s="4">
        <v>158</v>
      </c>
      <c r="G14" s="4">
        <v>115</v>
      </c>
      <c r="H14" s="4">
        <v>62</v>
      </c>
      <c r="I14" s="4">
        <v>171</v>
      </c>
      <c r="J14" s="4">
        <v>199</v>
      </c>
      <c r="K14" s="4">
        <v>60</v>
      </c>
      <c r="L14" s="4"/>
    </row>
    <row r="15" spans="1:12" s="1" customFormat="1" ht="14.1" customHeight="1" x14ac:dyDescent="0.2">
      <c r="A15" s="1">
        <v>243400694</v>
      </c>
      <c r="B15" s="17" t="s">
        <v>182</v>
      </c>
      <c r="C15" s="25">
        <v>525</v>
      </c>
      <c r="D15" s="25">
        <v>236</v>
      </c>
      <c r="E15" s="25">
        <v>4</v>
      </c>
      <c r="F15" s="25">
        <v>59</v>
      </c>
      <c r="G15" s="25">
        <v>49</v>
      </c>
      <c r="H15" s="25">
        <v>18</v>
      </c>
      <c r="I15" s="25">
        <v>73</v>
      </c>
      <c r="J15" s="25">
        <v>60</v>
      </c>
      <c r="K15" s="25">
        <v>26</v>
      </c>
      <c r="L15" s="25"/>
    </row>
    <row r="16" spans="1:12" s="1" customFormat="1" ht="18.2" customHeight="1" x14ac:dyDescent="0.2">
      <c r="A16" s="1">
        <v>243400736</v>
      </c>
      <c r="B16" s="7" t="s">
        <v>183</v>
      </c>
      <c r="C16" s="26">
        <v>160</v>
      </c>
      <c r="D16" s="26">
        <v>36</v>
      </c>
      <c r="E16" s="26"/>
      <c r="F16" s="25">
        <v>19</v>
      </c>
      <c r="G16" s="25">
        <v>25</v>
      </c>
      <c r="H16" s="25">
        <v>8</v>
      </c>
      <c r="I16" s="25">
        <v>29</v>
      </c>
      <c r="J16" s="25">
        <v>38</v>
      </c>
      <c r="K16" s="25">
        <v>5</v>
      </c>
      <c r="L16" s="25"/>
    </row>
    <row r="17" spans="1:12" s="1" customFormat="1" ht="22.7" customHeight="1" x14ac:dyDescent="0.2">
      <c r="A17" s="36" t="s">
        <v>181</v>
      </c>
      <c r="B17" s="22" t="s">
        <v>180</v>
      </c>
      <c r="C17" s="4">
        <v>4537</v>
      </c>
      <c r="D17" s="4">
        <v>1499</v>
      </c>
      <c r="E17" s="4">
        <v>13</v>
      </c>
      <c r="F17" s="4">
        <v>871</v>
      </c>
      <c r="G17" s="4">
        <v>509</v>
      </c>
      <c r="H17" s="4">
        <v>199</v>
      </c>
      <c r="I17" s="4">
        <v>718</v>
      </c>
      <c r="J17" s="4">
        <v>598</v>
      </c>
      <c r="K17" s="4">
        <v>130</v>
      </c>
      <c r="L17" s="4"/>
    </row>
    <row r="18" spans="1:12" s="1" customFormat="1" ht="14.1" customHeight="1" x14ac:dyDescent="0.2">
      <c r="A18" s="35" t="s">
        <v>179</v>
      </c>
      <c r="B18" s="16" t="s">
        <v>178</v>
      </c>
      <c r="C18" s="23">
        <v>2006</v>
      </c>
      <c r="D18" s="23">
        <v>685</v>
      </c>
      <c r="E18" s="23">
        <v>9</v>
      </c>
      <c r="F18" s="23">
        <v>323</v>
      </c>
      <c r="G18" s="23">
        <v>259</v>
      </c>
      <c r="H18" s="23">
        <v>64</v>
      </c>
      <c r="I18" s="23">
        <v>296</v>
      </c>
      <c r="J18" s="23">
        <v>287</v>
      </c>
      <c r="K18" s="23">
        <v>83</v>
      </c>
      <c r="L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19" sqref="B19:Q19"/>
    </sheetView>
  </sheetViews>
  <sheetFormatPr baseColWidth="10" defaultColWidth="9.140625" defaultRowHeight="15.95" customHeight="1" x14ac:dyDescent="0.2"/>
  <cols>
    <col min="1" max="1" width="10.140625" customWidth="1"/>
    <col min="2" max="2" width="26.140625" customWidth="1"/>
    <col min="3" max="3" width="10.140625" customWidth="1"/>
    <col min="4" max="11" width="15.42578125" customWidth="1"/>
  </cols>
  <sheetData>
    <row r="1" spans="1:11" s="1" customFormat="1" ht="15.95" customHeight="1" x14ac:dyDescent="0.2">
      <c r="A1" s="2" t="s">
        <v>0</v>
      </c>
      <c r="B1" s="3" t="s">
        <v>1</v>
      </c>
      <c r="C1" s="2" t="s">
        <v>2</v>
      </c>
      <c r="D1" s="2" t="s">
        <v>159</v>
      </c>
      <c r="E1" s="2" t="s">
        <v>160</v>
      </c>
      <c r="F1" s="2" t="s">
        <v>161</v>
      </c>
      <c r="G1" s="2" t="s">
        <v>162</v>
      </c>
      <c r="H1" s="2" t="s">
        <v>163</v>
      </c>
      <c r="I1" s="2" t="s">
        <v>164</v>
      </c>
      <c r="J1" s="2" t="s">
        <v>165</v>
      </c>
      <c r="K1" s="2" t="s">
        <v>27</v>
      </c>
    </row>
    <row r="2" spans="1:11" s="1" customFormat="1" ht="15.95" customHeight="1" x14ac:dyDescent="0.2">
      <c r="A2" s="1">
        <v>200017341</v>
      </c>
      <c r="B2" s="17" t="s">
        <v>166</v>
      </c>
      <c r="C2" s="25">
        <v>168</v>
      </c>
      <c r="D2" s="25">
        <v>15</v>
      </c>
      <c r="E2" s="25">
        <v>40</v>
      </c>
      <c r="F2" s="25">
        <v>57</v>
      </c>
      <c r="G2" s="25">
        <v>38</v>
      </c>
      <c r="H2" s="25">
        <v>17</v>
      </c>
      <c r="I2" s="25">
        <v>1</v>
      </c>
      <c r="J2" s="25"/>
      <c r="K2" s="25"/>
    </row>
    <row r="3" spans="1:11" s="1" customFormat="1" ht="15.95" customHeight="1" x14ac:dyDescent="0.2">
      <c r="A3" s="1">
        <v>200022986</v>
      </c>
      <c r="B3" s="7" t="s">
        <v>167</v>
      </c>
      <c r="C3" s="26">
        <v>603</v>
      </c>
      <c r="D3" s="26">
        <v>34</v>
      </c>
      <c r="E3" s="26">
        <v>207</v>
      </c>
      <c r="F3" s="25">
        <v>217</v>
      </c>
      <c r="G3" s="25">
        <v>133</v>
      </c>
      <c r="H3" s="25">
        <v>12</v>
      </c>
      <c r="I3" s="25"/>
      <c r="J3" s="25"/>
      <c r="K3" s="25"/>
    </row>
    <row r="4" spans="1:11" s="1" customFormat="1" ht="15.95" customHeight="1" x14ac:dyDescent="0.2">
      <c r="A4" s="13">
        <v>200042646</v>
      </c>
      <c r="B4" s="22" t="s">
        <v>168</v>
      </c>
      <c r="C4" s="4">
        <v>200</v>
      </c>
      <c r="D4" s="4">
        <v>22</v>
      </c>
      <c r="E4" s="4">
        <v>77</v>
      </c>
      <c r="F4" s="4">
        <v>66</v>
      </c>
      <c r="G4" s="4">
        <v>30</v>
      </c>
      <c r="H4" s="4">
        <v>4</v>
      </c>
      <c r="I4" s="4">
        <v>1</v>
      </c>
      <c r="J4" s="4"/>
      <c r="K4" s="4"/>
    </row>
    <row r="5" spans="1:11" s="1" customFormat="1" ht="15.95" customHeight="1" x14ac:dyDescent="0.2">
      <c r="A5" s="8">
        <v>200042653</v>
      </c>
      <c r="B5" s="16" t="s">
        <v>169</v>
      </c>
      <c r="C5" s="23">
        <v>122</v>
      </c>
      <c r="D5" s="23">
        <v>7</v>
      </c>
      <c r="E5" s="23">
        <v>31</v>
      </c>
      <c r="F5" s="23">
        <v>53</v>
      </c>
      <c r="G5" s="23">
        <v>25</v>
      </c>
      <c r="H5" s="23">
        <v>6</v>
      </c>
      <c r="I5" s="23"/>
      <c r="J5" s="23"/>
      <c r="K5" s="23"/>
    </row>
    <row r="6" spans="1:11" s="1" customFormat="1" ht="15.95" customHeight="1" x14ac:dyDescent="0.2">
      <c r="A6" s="8">
        <v>200066348</v>
      </c>
      <c r="B6" s="16" t="s">
        <v>171</v>
      </c>
      <c r="C6" s="23">
        <v>57</v>
      </c>
      <c r="D6" s="23">
        <v>2</v>
      </c>
      <c r="E6" s="23">
        <v>24</v>
      </c>
      <c r="F6" s="23">
        <v>17</v>
      </c>
      <c r="G6" s="23">
        <v>10</v>
      </c>
      <c r="H6" s="23">
        <v>3</v>
      </c>
      <c r="I6" s="23">
        <v>1</v>
      </c>
      <c r="J6" s="23"/>
      <c r="K6" s="23"/>
    </row>
    <row r="7" spans="1:11" s="1" customFormat="1" ht="15.95" customHeight="1" x14ac:dyDescent="0.2">
      <c r="A7" s="8">
        <v>200066355</v>
      </c>
      <c r="B7" s="16" t="s">
        <v>170</v>
      </c>
      <c r="C7" s="23">
        <v>4708</v>
      </c>
      <c r="D7" s="23">
        <v>441</v>
      </c>
      <c r="E7" s="23">
        <v>1690</v>
      </c>
      <c r="F7" s="23">
        <v>1552</v>
      </c>
      <c r="G7" s="23">
        <v>898</v>
      </c>
      <c r="H7" s="23">
        <v>127</v>
      </c>
      <c r="I7" s="23"/>
      <c r="J7" s="23"/>
      <c r="K7" s="23"/>
    </row>
    <row r="8" spans="1:11" s="1" customFormat="1" ht="15.95" customHeight="1" x14ac:dyDescent="0.2">
      <c r="A8" s="8">
        <v>200066553</v>
      </c>
      <c r="B8" s="16" t="s">
        <v>172</v>
      </c>
      <c r="C8" s="23">
        <v>18</v>
      </c>
      <c r="D8" s="23">
        <v>4</v>
      </c>
      <c r="E8" s="23">
        <v>7</v>
      </c>
      <c r="F8" s="23">
        <v>6</v>
      </c>
      <c r="G8" s="23">
        <v>1</v>
      </c>
      <c r="H8" s="23"/>
      <c r="I8" s="23"/>
      <c r="J8" s="23"/>
      <c r="K8" s="23"/>
    </row>
    <row r="9" spans="1:11" s="1" customFormat="1" ht="15.95" customHeight="1" x14ac:dyDescent="0.2">
      <c r="A9" s="8">
        <v>200071058</v>
      </c>
      <c r="B9" s="16" t="s">
        <v>173</v>
      </c>
      <c r="C9" s="23">
        <v>215</v>
      </c>
      <c r="D9" s="23">
        <v>17</v>
      </c>
      <c r="E9" s="23">
        <v>71</v>
      </c>
      <c r="F9" s="23">
        <v>73</v>
      </c>
      <c r="G9" s="23">
        <v>46</v>
      </c>
      <c r="H9" s="23">
        <v>8</v>
      </c>
      <c r="I9" s="23"/>
      <c r="J9" s="23"/>
      <c r="K9" s="23"/>
    </row>
    <row r="10" spans="1:11" s="1" customFormat="1" ht="15.95" customHeight="1" x14ac:dyDescent="0.2">
      <c r="A10" s="8">
        <v>243400017</v>
      </c>
      <c r="B10" s="16" t="s">
        <v>174</v>
      </c>
      <c r="C10" s="23">
        <v>25746</v>
      </c>
      <c r="D10" s="23">
        <v>2892</v>
      </c>
      <c r="E10" s="23">
        <v>8673</v>
      </c>
      <c r="F10" s="23">
        <v>7509</v>
      </c>
      <c r="G10" s="23">
        <v>5697</v>
      </c>
      <c r="H10" s="23">
        <v>944</v>
      </c>
      <c r="I10" s="23">
        <v>31</v>
      </c>
      <c r="J10" s="23"/>
      <c r="K10" s="23"/>
    </row>
    <row r="11" spans="1:11" s="1" customFormat="1" ht="15.95" customHeight="1" x14ac:dyDescent="0.2">
      <c r="A11" s="8">
        <v>243400355</v>
      </c>
      <c r="B11" s="16" t="s">
        <v>175</v>
      </c>
      <c r="C11" s="23">
        <v>562</v>
      </c>
      <c r="D11" s="23">
        <v>51</v>
      </c>
      <c r="E11" s="23">
        <v>188</v>
      </c>
      <c r="F11" s="23">
        <v>191</v>
      </c>
      <c r="G11" s="23">
        <v>112</v>
      </c>
      <c r="H11" s="23">
        <v>20</v>
      </c>
      <c r="I11" s="23"/>
      <c r="J11" s="23"/>
      <c r="K11" s="23"/>
    </row>
    <row r="12" spans="1:11" s="1" customFormat="1" ht="15.95" customHeight="1" x14ac:dyDescent="0.2">
      <c r="A12" s="10">
        <v>243400470</v>
      </c>
      <c r="B12" s="19" t="s">
        <v>176</v>
      </c>
      <c r="C12" s="24">
        <v>1482</v>
      </c>
      <c r="D12" s="24">
        <v>199</v>
      </c>
      <c r="E12" s="24">
        <v>558</v>
      </c>
      <c r="F12" s="24">
        <v>476</v>
      </c>
      <c r="G12" s="24">
        <v>225</v>
      </c>
      <c r="H12" s="24">
        <v>24</v>
      </c>
      <c r="I12" s="24"/>
      <c r="J12" s="24"/>
      <c r="K12" s="24"/>
    </row>
    <row r="13" spans="1:11" s="1" customFormat="1" ht="15.95" customHeight="1" x14ac:dyDescent="0.2">
      <c r="A13" s="10">
        <v>243400488</v>
      </c>
      <c r="B13" s="19" t="s">
        <v>177</v>
      </c>
      <c r="C13" s="24">
        <v>436</v>
      </c>
      <c r="D13" s="24">
        <v>28</v>
      </c>
      <c r="E13" s="24">
        <v>128</v>
      </c>
      <c r="F13" s="24">
        <v>170</v>
      </c>
      <c r="G13" s="24">
        <v>100</v>
      </c>
      <c r="H13" s="24">
        <v>10</v>
      </c>
      <c r="I13" s="24"/>
      <c r="J13" s="24"/>
      <c r="K13" s="24"/>
    </row>
    <row r="14" spans="1:11" s="1" customFormat="1" ht="15.95" customHeight="1" x14ac:dyDescent="0.2">
      <c r="A14" s="1">
        <v>243400520</v>
      </c>
      <c r="B14" s="7" t="s">
        <v>184</v>
      </c>
      <c r="C14" s="4">
        <v>1429</v>
      </c>
      <c r="D14" s="4">
        <v>97</v>
      </c>
      <c r="E14" s="4">
        <v>411</v>
      </c>
      <c r="F14" s="4">
        <v>476</v>
      </c>
      <c r="G14" s="4">
        <v>399</v>
      </c>
      <c r="H14" s="4">
        <v>45</v>
      </c>
      <c r="I14" s="4">
        <v>1</v>
      </c>
      <c r="J14" s="4"/>
      <c r="K14" s="4"/>
    </row>
    <row r="15" spans="1:11" s="1" customFormat="1" ht="15.95" customHeight="1" x14ac:dyDescent="0.2">
      <c r="A15" s="1">
        <v>243400694</v>
      </c>
      <c r="B15" s="17" t="s">
        <v>182</v>
      </c>
      <c r="C15" s="25">
        <v>525</v>
      </c>
      <c r="D15" s="25">
        <v>37</v>
      </c>
      <c r="E15" s="25">
        <v>151</v>
      </c>
      <c r="F15" s="25">
        <v>198</v>
      </c>
      <c r="G15" s="25">
        <v>117</v>
      </c>
      <c r="H15" s="25">
        <v>22</v>
      </c>
      <c r="I15" s="25"/>
      <c r="J15" s="25"/>
      <c r="K15" s="25"/>
    </row>
    <row r="16" spans="1:11" s="1" customFormat="1" ht="15.95" customHeight="1" x14ac:dyDescent="0.2">
      <c r="A16" s="1">
        <v>243400736</v>
      </c>
      <c r="B16" s="7" t="s">
        <v>183</v>
      </c>
      <c r="C16" s="26">
        <v>160</v>
      </c>
      <c r="D16" s="26">
        <v>22</v>
      </c>
      <c r="E16" s="26">
        <v>57</v>
      </c>
      <c r="F16" s="25">
        <v>45</v>
      </c>
      <c r="G16" s="25">
        <v>32</v>
      </c>
      <c r="H16" s="25">
        <v>4</v>
      </c>
      <c r="I16" s="25"/>
      <c r="J16" s="25"/>
      <c r="K16" s="25"/>
    </row>
    <row r="17" spans="1:11" s="1" customFormat="1" ht="15.95" customHeight="1" x14ac:dyDescent="0.2">
      <c r="A17" s="36" t="s">
        <v>181</v>
      </c>
      <c r="B17" s="22" t="s">
        <v>180</v>
      </c>
      <c r="C17" s="4">
        <v>4537</v>
      </c>
      <c r="D17" s="4">
        <v>306</v>
      </c>
      <c r="E17" s="4">
        <v>1223</v>
      </c>
      <c r="F17" s="4">
        <v>1608</v>
      </c>
      <c r="G17" s="4">
        <v>1177</v>
      </c>
      <c r="H17" s="4">
        <v>219</v>
      </c>
      <c r="I17" s="4">
        <v>4</v>
      </c>
      <c r="J17" s="4"/>
      <c r="K17" s="4"/>
    </row>
    <row r="18" spans="1:11" s="1" customFormat="1" ht="15.95" customHeight="1" x14ac:dyDescent="0.2">
      <c r="A18" s="35" t="s">
        <v>179</v>
      </c>
      <c r="B18" s="16" t="s">
        <v>178</v>
      </c>
      <c r="C18" s="23">
        <v>2006</v>
      </c>
      <c r="D18" s="23">
        <v>144</v>
      </c>
      <c r="E18" s="23">
        <v>748</v>
      </c>
      <c r="F18" s="23">
        <v>612</v>
      </c>
      <c r="G18" s="23">
        <v>433</v>
      </c>
      <c r="H18" s="23">
        <v>68</v>
      </c>
      <c r="I18" s="23">
        <v>1</v>
      </c>
      <c r="J18" s="23"/>
      <c r="K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workbookViewId="0">
      <selection activeCell="E25" sqref="E25:G25"/>
    </sheetView>
  </sheetViews>
  <sheetFormatPr baseColWidth="10" defaultRowHeight="12.75" x14ac:dyDescent="0.2"/>
  <cols>
    <col min="1" max="1" width="20" bestFit="1" customWidth="1"/>
    <col min="4" max="4" width="4.85546875" customWidth="1"/>
    <col min="5" max="5" width="12.85546875" customWidth="1"/>
    <col min="6" max="6" width="12.5703125" bestFit="1" customWidth="1"/>
    <col min="7" max="7" width="12.140625" customWidth="1"/>
    <col min="8" max="8" width="4.85546875" customWidth="1"/>
    <col min="9" max="9" width="13.85546875" customWidth="1"/>
    <col min="11" max="11" width="18.42578125" customWidth="1"/>
    <col min="12" max="12" width="3.85546875" customWidth="1"/>
    <col min="13" max="13" width="19.5703125" customWidth="1"/>
    <col min="14" max="14" width="7.85546875" customWidth="1"/>
    <col min="15" max="15" width="9.140625" customWidth="1"/>
    <col min="16" max="16" width="37.140625" bestFit="1" customWidth="1"/>
  </cols>
  <sheetData>
    <row r="1" spans="1:22" ht="20.45" customHeight="1" x14ac:dyDescent="0.35">
      <c r="A1" s="70" t="str">
        <f>Fiche_EPCI!A1</f>
        <v>CC Vallée de l'Hérault</v>
      </c>
      <c r="B1" s="70">
        <v>0</v>
      </c>
      <c r="C1" s="70">
        <v>0</v>
      </c>
      <c r="D1" s="70">
        <v>0</v>
      </c>
      <c r="E1" s="70">
        <v>0</v>
      </c>
      <c r="F1" s="70">
        <v>0</v>
      </c>
      <c r="G1" s="70">
        <v>0</v>
      </c>
      <c r="H1" s="70">
        <v>0</v>
      </c>
      <c r="I1" s="70">
        <v>0</v>
      </c>
      <c r="J1" s="70">
        <v>0</v>
      </c>
      <c r="K1" s="70">
        <v>0</v>
      </c>
      <c r="L1" s="70">
        <v>0</v>
      </c>
      <c r="M1" s="70">
        <v>0</v>
      </c>
      <c r="N1" s="70">
        <v>0</v>
      </c>
      <c r="O1" s="70">
        <v>0</v>
      </c>
      <c r="P1" s="71"/>
    </row>
    <row r="2" spans="1:22" ht="18.75" x14ac:dyDescent="0.3">
      <c r="A2" s="69" t="s">
        <v>281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2"/>
      <c r="Q2" s="38"/>
      <c r="R2" s="38"/>
      <c r="S2" s="38"/>
      <c r="T2" s="38"/>
      <c r="U2" s="38"/>
      <c r="V2" s="38"/>
    </row>
    <row r="3" spans="1:22" ht="18.75" x14ac:dyDescent="0.3">
      <c r="A3" s="66" t="s">
        <v>188</v>
      </c>
      <c r="B3" s="67"/>
      <c r="C3" s="68"/>
      <c r="D3" s="38"/>
      <c r="E3" s="66" t="s">
        <v>189</v>
      </c>
      <c r="F3" s="67"/>
      <c r="G3" s="68"/>
      <c r="H3" s="38"/>
      <c r="I3" s="66" t="s">
        <v>250</v>
      </c>
      <c r="J3" s="67"/>
      <c r="K3" s="68"/>
      <c r="L3" s="38"/>
      <c r="M3" s="66" t="s">
        <v>251</v>
      </c>
      <c r="N3" s="67"/>
      <c r="O3" s="68"/>
      <c r="P3" s="71"/>
      <c r="Q3" s="38"/>
      <c r="R3" s="38"/>
      <c r="S3" s="38"/>
      <c r="T3" s="38"/>
      <c r="U3" s="38"/>
      <c r="V3" s="38"/>
    </row>
    <row r="4" spans="1:22" ht="16.350000000000001" customHeight="1" x14ac:dyDescent="0.3">
      <c r="A4" s="39"/>
      <c r="B4" s="40"/>
      <c r="C4" s="41"/>
      <c r="D4" s="38"/>
      <c r="E4" s="39"/>
      <c r="F4" s="40"/>
      <c r="G4" s="41"/>
      <c r="H4" s="38"/>
      <c r="I4" s="39"/>
      <c r="J4" s="40"/>
      <c r="K4" s="41"/>
      <c r="L4" s="38"/>
      <c r="M4" s="39"/>
      <c r="N4" s="40"/>
      <c r="O4" s="41"/>
      <c r="P4" s="71"/>
      <c r="U4" s="38"/>
      <c r="V4" s="38"/>
    </row>
    <row r="5" spans="1:22" x14ac:dyDescent="0.2">
      <c r="A5" s="42" t="s">
        <v>252</v>
      </c>
      <c r="B5" s="44">
        <f xml:space="preserve"> Fiche_EPCI!B7+Fiche_EPCI!B20+Fiche_EPCI!B27</f>
        <v>20</v>
      </c>
      <c r="C5" s="43">
        <f t="shared" ref="C5:C14" si="0">B5/$B$16</f>
        <v>3.8095238095238099E-2</v>
      </c>
      <c r="D5" s="38"/>
      <c r="E5" s="42" t="s">
        <v>253</v>
      </c>
      <c r="F5" s="44">
        <f>Fiche_EPCI!U9</f>
        <v>160</v>
      </c>
      <c r="G5" s="58">
        <f>F5/$F$9</f>
        <v>0.30476190476190479</v>
      </c>
      <c r="H5" s="38"/>
      <c r="I5" s="42" t="s">
        <v>254</v>
      </c>
      <c r="J5" s="44">
        <f>Fiche_EPCI!F21+Fiche_EPCI!F22</f>
        <v>49</v>
      </c>
      <c r="K5" s="73">
        <f t="shared" ref="K5:K10" si="1">J5/$J$14</f>
        <v>9.3333333333333338E-2</v>
      </c>
      <c r="L5" s="38"/>
      <c r="M5" s="53" t="s">
        <v>255</v>
      </c>
      <c r="N5" s="44">
        <f>Fiche_EPCI!N23+Fiche_EPCI!N37+Fiche_EPCI!N39+Fiche_EPCI!N40+Fiche_EPCI!N24</f>
        <v>12</v>
      </c>
      <c r="O5" s="43">
        <f t="shared" ref="O5:O12" si="2">N5/$N$14</f>
        <v>2.2857142857142857E-2</v>
      </c>
      <c r="P5" s="38"/>
      <c r="U5" s="38"/>
      <c r="V5" s="38"/>
    </row>
    <row r="6" spans="1:22" x14ac:dyDescent="0.2">
      <c r="A6" s="42" t="s">
        <v>256</v>
      </c>
      <c r="B6" s="44">
        <f>Fiche_EPCI!B8+Fiche_EPCI!B10+Fiche_EPCI!B11+Fiche_EPCI!B31+Fiche_EPCI!B25+Fiche_EPCI!B28</f>
        <v>76</v>
      </c>
      <c r="C6" s="43">
        <f t="shared" si="0"/>
        <v>0.14476190476190476</v>
      </c>
      <c r="D6" s="38"/>
      <c r="E6" s="42" t="s">
        <v>257</v>
      </c>
      <c r="F6" s="44">
        <f>Fiche_EPCI!U10</f>
        <v>365</v>
      </c>
      <c r="G6" s="58">
        <f>F6/$F$9</f>
        <v>0.69523809523809521</v>
      </c>
      <c r="H6" s="38"/>
      <c r="I6" s="42" t="s">
        <v>81</v>
      </c>
      <c r="J6" s="44">
        <f>Fiche_EPCI!F23</f>
        <v>115</v>
      </c>
      <c r="K6" s="73">
        <f t="shared" si="1"/>
        <v>0.21904761904761905</v>
      </c>
      <c r="L6" s="38"/>
      <c r="M6" s="53" t="s">
        <v>258</v>
      </c>
      <c r="N6" s="44">
        <f>Fiche_EPCI!N25+Fiche_EPCI!N41+Fiche_EPCI!N34+Fiche_EPCI!N35+Fiche_EPCI!N36+Fiche_EPCI!N38</f>
        <v>17</v>
      </c>
      <c r="O6" s="74">
        <f t="shared" si="2"/>
        <v>3.2380952380952378E-2</v>
      </c>
      <c r="P6" s="38"/>
      <c r="U6" s="38"/>
      <c r="V6" s="38"/>
    </row>
    <row r="7" spans="1:22" x14ac:dyDescent="0.2">
      <c r="A7" s="42" t="s">
        <v>259</v>
      </c>
      <c r="B7" s="44">
        <f>Fiche_EPCI!B12+Fiche_EPCI!B24</f>
        <v>72</v>
      </c>
      <c r="C7" s="43">
        <f t="shared" si="0"/>
        <v>0.13714285714285715</v>
      </c>
      <c r="D7" s="38"/>
      <c r="E7" s="42" t="s">
        <v>201</v>
      </c>
      <c r="F7" s="44">
        <f>Fiche_EPCI!U11</f>
        <v>0</v>
      </c>
      <c r="G7" s="58">
        <f>F7/$F$9</f>
        <v>0</v>
      </c>
      <c r="H7" s="38"/>
      <c r="I7" s="42" t="s">
        <v>82</v>
      </c>
      <c r="J7" s="44">
        <f>Fiche_EPCI!F24</f>
        <v>149</v>
      </c>
      <c r="K7" s="73">
        <f t="shared" si="1"/>
        <v>0.28380952380952379</v>
      </c>
      <c r="L7" s="38"/>
      <c r="M7" s="42" t="s">
        <v>260</v>
      </c>
      <c r="N7" s="44">
        <f>Fiche_EPCI!N26+Fiche_EPCI!N27+Fiche_EPCI!N31</f>
        <v>110</v>
      </c>
      <c r="O7" s="74">
        <f t="shared" si="2"/>
        <v>0.20952380952380953</v>
      </c>
      <c r="P7" s="38"/>
      <c r="U7" s="38"/>
      <c r="V7" s="38"/>
    </row>
    <row r="8" spans="1:22" x14ac:dyDescent="0.2">
      <c r="A8" s="42" t="s">
        <v>261</v>
      </c>
      <c r="B8" s="44">
        <f>Fiche_EPCI!B9+Fiche_EPCI!B30+Fiche_EPCI!B16+Fiche_EPCI!B22</f>
        <v>44</v>
      </c>
      <c r="C8" s="43">
        <f t="shared" si="0"/>
        <v>8.3809523809523806E-2</v>
      </c>
      <c r="D8" s="38"/>
      <c r="E8" s="42"/>
      <c r="F8" s="46"/>
      <c r="G8" s="75"/>
      <c r="H8" s="38"/>
      <c r="I8" s="42" t="s">
        <v>83</v>
      </c>
      <c r="J8" s="44">
        <f>Fiche_EPCI!F25</f>
        <v>93</v>
      </c>
      <c r="K8" s="73">
        <f t="shared" si="1"/>
        <v>0.17714285714285713</v>
      </c>
      <c r="L8" s="38"/>
      <c r="M8" s="42" t="s">
        <v>102</v>
      </c>
      <c r="N8" s="44">
        <f>Fiche_EPCI!N28</f>
        <v>0</v>
      </c>
      <c r="O8" s="74">
        <f t="shared" si="2"/>
        <v>0</v>
      </c>
      <c r="P8" s="38"/>
      <c r="U8" s="38"/>
      <c r="V8" s="38"/>
    </row>
    <row r="9" spans="1:22" x14ac:dyDescent="0.2">
      <c r="A9" s="42" t="s">
        <v>262</v>
      </c>
      <c r="B9" s="44">
        <f>Fiche_EPCI!B13+Fiche_EPCI!B14+Fiche_EPCI!B15+Fiche_EPCI!B17+Fiche_EPCI!B18+Fiche_EPCI!B19</f>
        <v>210</v>
      </c>
      <c r="C9" s="43">
        <f t="shared" si="0"/>
        <v>0.4</v>
      </c>
      <c r="D9" s="38"/>
      <c r="E9" s="48"/>
      <c r="F9" s="49">
        <f>SUM(F5:F7)</f>
        <v>525</v>
      </c>
      <c r="G9" s="52">
        <f>SUM(G5:G7)</f>
        <v>1</v>
      </c>
      <c r="H9" s="38"/>
      <c r="I9" s="42" t="s">
        <v>263</v>
      </c>
      <c r="J9" s="44">
        <f>Fiche_EPCI!F26+Fiche_EPCI!F27+Fiche_EPCI!F28+Fiche_EPCI!F29+Fiche_EPCI!F30+Fiche_EPCI!F31+Fiche_EPCI!F32</f>
        <v>110</v>
      </c>
      <c r="K9" s="73">
        <f t="shared" si="1"/>
        <v>0.20952380952380953</v>
      </c>
      <c r="L9" s="38"/>
      <c r="M9" s="42" t="s">
        <v>214</v>
      </c>
      <c r="N9" s="44">
        <f>Fiche_EPCI!N29</f>
        <v>106</v>
      </c>
      <c r="O9" s="74">
        <f t="shared" si="2"/>
        <v>0.20190476190476189</v>
      </c>
      <c r="P9" s="38"/>
      <c r="U9" s="38"/>
      <c r="V9" s="38"/>
    </row>
    <row r="10" spans="1:22" x14ac:dyDescent="0.2">
      <c r="A10" s="42" t="s">
        <v>264</v>
      </c>
      <c r="B10" s="44">
        <f>Fiche_EPCI!B26+Fiche_EPCI!B21</f>
        <v>14</v>
      </c>
      <c r="C10" s="43">
        <f t="shared" si="0"/>
        <v>2.6666666666666668E-2</v>
      </c>
      <c r="D10" s="38"/>
      <c r="E10" s="38"/>
      <c r="F10" s="38"/>
      <c r="G10" s="38"/>
      <c r="H10" s="38"/>
      <c r="I10" s="42" t="s">
        <v>201</v>
      </c>
      <c r="J10" s="44">
        <f>Fiche_EPCI!F33</f>
        <v>9</v>
      </c>
      <c r="K10" s="73">
        <f t="shared" si="1"/>
        <v>1.7142857142857144E-2</v>
      </c>
      <c r="L10" s="38"/>
      <c r="M10" s="42" t="s">
        <v>215</v>
      </c>
      <c r="N10" s="44">
        <f>Fiche_EPCI!N30</f>
        <v>264</v>
      </c>
      <c r="O10" s="74">
        <f t="shared" si="2"/>
        <v>0.50285714285714289</v>
      </c>
      <c r="P10" s="38"/>
      <c r="U10" s="38"/>
      <c r="V10" s="38"/>
    </row>
    <row r="11" spans="1:22" x14ac:dyDescent="0.2">
      <c r="A11" s="42" t="s">
        <v>135</v>
      </c>
      <c r="B11" s="44">
        <f>Fiche_EPCI!B23</f>
        <v>1</v>
      </c>
      <c r="C11" s="43">
        <f t="shared" si="0"/>
        <v>1.9047619047619048E-3</v>
      </c>
      <c r="D11" s="38"/>
      <c r="E11" s="38"/>
      <c r="F11" s="38"/>
      <c r="G11" s="38"/>
      <c r="H11" s="38"/>
      <c r="I11" s="42"/>
      <c r="J11" s="46"/>
      <c r="K11" s="60"/>
      <c r="L11" s="38"/>
      <c r="M11" s="42" t="s">
        <v>265</v>
      </c>
      <c r="N11" s="44">
        <f>Fiche_EPCI!N33+Fiche_EPCI!N32</f>
        <v>16</v>
      </c>
      <c r="O11" s="74">
        <f t="shared" si="2"/>
        <v>3.0476190476190476E-2</v>
      </c>
      <c r="P11" s="38"/>
      <c r="U11" s="38"/>
      <c r="V11" s="38"/>
    </row>
    <row r="12" spans="1:22" ht="18.75" x14ac:dyDescent="0.2">
      <c r="A12" s="42" t="s">
        <v>266</v>
      </c>
      <c r="B12" s="44">
        <f>Fiche_EPCI!B29</f>
        <v>61</v>
      </c>
      <c r="C12" s="43">
        <f t="shared" si="0"/>
        <v>0.11619047619047619</v>
      </c>
      <c r="D12" s="38"/>
      <c r="E12" s="76" t="s">
        <v>267</v>
      </c>
      <c r="F12" s="77"/>
      <c r="G12" s="78"/>
      <c r="H12" s="38"/>
      <c r="I12" s="55" t="s">
        <v>220</v>
      </c>
      <c r="J12" s="56">
        <f>Fiche_EPCI!F35</f>
        <v>1459.5009523809524</v>
      </c>
      <c r="K12" s="60"/>
      <c r="L12" s="38"/>
      <c r="M12" s="42" t="s">
        <v>201</v>
      </c>
      <c r="N12" s="44">
        <f>Fiche_EPCI!N42</f>
        <v>0</v>
      </c>
      <c r="O12" s="74">
        <f t="shared" si="2"/>
        <v>0</v>
      </c>
      <c r="P12" s="38"/>
      <c r="U12" s="38"/>
      <c r="V12" s="38"/>
    </row>
    <row r="13" spans="1:22" ht="13.7" customHeight="1" x14ac:dyDescent="0.2">
      <c r="A13" s="42" t="s">
        <v>116</v>
      </c>
      <c r="B13" s="44">
        <f>Fiche_EPCI!B32</f>
        <v>11</v>
      </c>
      <c r="C13" s="43">
        <f t="shared" si="0"/>
        <v>2.0952380952380951E-2</v>
      </c>
      <c r="D13" s="38"/>
      <c r="E13" s="39"/>
      <c r="F13" s="79"/>
      <c r="G13" s="80"/>
      <c r="H13" s="38"/>
      <c r="I13" s="42"/>
      <c r="J13" s="46"/>
      <c r="K13" s="75"/>
      <c r="L13" s="38"/>
      <c r="M13" s="42"/>
      <c r="N13" s="46"/>
      <c r="O13" s="47"/>
      <c r="P13" s="38"/>
      <c r="U13" s="38"/>
      <c r="V13" s="38"/>
    </row>
    <row r="14" spans="1:22" ht="15" x14ac:dyDescent="0.25">
      <c r="A14" s="42" t="s">
        <v>201</v>
      </c>
      <c r="B14" s="44">
        <f>Fiche_EPCI!B33</f>
        <v>16</v>
      </c>
      <c r="C14" s="43">
        <f t="shared" si="0"/>
        <v>3.0476190476190476E-2</v>
      </c>
      <c r="D14" s="38"/>
      <c r="E14" s="81" t="s">
        <v>194</v>
      </c>
      <c r="F14" s="82">
        <f>Fiche_EPCI!N13</f>
        <v>251</v>
      </c>
      <c r="G14" s="83">
        <f t="shared" ref="G14:G20" si="3">F14/$F$22</f>
        <v>0.47809523809523807</v>
      </c>
      <c r="H14" s="38"/>
      <c r="I14" s="51"/>
      <c r="J14" s="49">
        <f>SUM(J5:J10)</f>
        <v>525</v>
      </c>
      <c r="K14" s="52">
        <f>SUM(K5:K10)</f>
        <v>1</v>
      </c>
      <c r="L14" s="38"/>
      <c r="M14" s="51"/>
      <c r="N14" s="49">
        <f>SUM(N5:N12)</f>
        <v>525</v>
      </c>
      <c r="O14" s="50">
        <f>SUM(O5:O12)</f>
        <v>1</v>
      </c>
      <c r="P14" s="38"/>
      <c r="U14" s="38"/>
      <c r="V14" s="38"/>
    </row>
    <row r="15" spans="1:22" ht="15" x14ac:dyDescent="0.25">
      <c r="A15" s="42"/>
      <c r="B15" s="46"/>
      <c r="C15" s="47"/>
      <c r="D15" s="38"/>
      <c r="E15" s="81">
        <v>1</v>
      </c>
      <c r="F15" s="84">
        <f>Fiche_EPCI!O13</f>
        <v>105</v>
      </c>
      <c r="G15" s="83">
        <f t="shared" si="3"/>
        <v>0.2</v>
      </c>
      <c r="H15" s="38"/>
      <c r="L15" s="38"/>
      <c r="M15" s="38"/>
      <c r="N15" s="38"/>
      <c r="O15" s="38"/>
      <c r="P15" s="38"/>
      <c r="U15" s="38"/>
      <c r="V15" s="38"/>
    </row>
    <row r="16" spans="1:22" ht="15" x14ac:dyDescent="0.25">
      <c r="A16" s="51"/>
      <c r="B16" s="49">
        <f>SUM(B5:B14)</f>
        <v>525</v>
      </c>
      <c r="C16" s="50">
        <f>B16/$B$16</f>
        <v>1</v>
      </c>
      <c r="D16" s="38"/>
      <c r="E16" s="81">
        <v>2</v>
      </c>
      <c r="F16" s="84">
        <f>Fiche_EPCI!P13</f>
        <v>100</v>
      </c>
      <c r="G16" s="83">
        <f t="shared" si="3"/>
        <v>0.19047619047619047</v>
      </c>
      <c r="H16" s="38"/>
      <c r="I16" s="38"/>
      <c r="J16" s="38"/>
      <c r="K16" s="38"/>
      <c r="L16" s="38"/>
      <c r="M16" s="38"/>
      <c r="N16" s="38"/>
      <c r="O16" s="38"/>
      <c r="P16" s="38"/>
      <c r="U16" s="38"/>
      <c r="V16" s="38"/>
    </row>
    <row r="17" spans="1:22" ht="18.75" x14ac:dyDescent="0.3">
      <c r="A17" s="85"/>
      <c r="B17" s="86"/>
      <c r="C17" s="85"/>
      <c r="D17" s="38"/>
      <c r="E17" s="81">
        <v>3</v>
      </c>
      <c r="F17" s="84">
        <f>Fiche_EPCI!Q13</f>
        <v>44</v>
      </c>
      <c r="G17" s="83">
        <f t="shared" si="3"/>
        <v>8.3809523809523806E-2</v>
      </c>
      <c r="H17" s="38"/>
      <c r="I17" s="66" t="s">
        <v>205</v>
      </c>
      <c r="J17" s="67"/>
      <c r="K17" s="68"/>
      <c r="L17" s="38"/>
      <c r="M17" s="66" t="s">
        <v>224</v>
      </c>
      <c r="N17" s="67"/>
      <c r="O17" s="68"/>
      <c r="P17" s="38"/>
      <c r="Q17" s="38"/>
      <c r="R17" s="38"/>
      <c r="S17" s="38"/>
      <c r="T17" s="38"/>
      <c r="U17" s="38"/>
      <c r="V17" s="38"/>
    </row>
    <row r="18" spans="1:22" ht="16.350000000000001" customHeight="1" x14ac:dyDescent="0.3">
      <c r="A18" s="66" t="s">
        <v>221</v>
      </c>
      <c r="B18" s="87"/>
      <c r="C18" s="88"/>
      <c r="D18" s="38"/>
      <c r="E18" s="81">
        <v>4</v>
      </c>
      <c r="F18" s="84">
        <f>Fiche_EPCI!R13</f>
        <v>14</v>
      </c>
      <c r="G18" s="83">
        <f t="shared" si="3"/>
        <v>2.6666666666666668E-2</v>
      </c>
      <c r="H18" s="38"/>
      <c r="I18" s="39"/>
      <c r="J18" s="40"/>
      <c r="K18" s="41"/>
      <c r="L18" s="38"/>
      <c r="M18" s="89"/>
      <c r="N18" s="40"/>
      <c r="O18" s="41"/>
      <c r="P18" s="38"/>
      <c r="Q18" s="38"/>
      <c r="R18" s="38"/>
      <c r="S18" s="38"/>
      <c r="T18" s="38"/>
      <c r="U18" s="38"/>
      <c r="V18" s="38"/>
    </row>
    <row r="19" spans="1:22" ht="15" x14ac:dyDescent="0.25">
      <c r="A19" s="39"/>
      <c r="B19" s="40"/>
      <c r="C19" s="41"/>
      <c r="D19" s="38"/>
      <c r="E19" s="81" t="s">
        <v>268</v>
      </c>
      <c r="F19" s="84">
        <f>Fiche_EPCI!S13+Fiche_EPCI!T13</f>
        <v>11</v>
      </c>
      <c r="G19" s="83">
        <f t="shared" si="3"/>
        <v>2.0952380952380951E-2</v>
      </c>
      <c r="H19" s="38"/>
      <c r="I19" s="42" t="s">
        <v>254</v>
      </c>
      <c r="J19" s="44">
        <f>Fiche_EPCI!J21+Fiche_EPCI!J22</f>
        <v>74</v>
      </c>
      <c r="K19" s="73">
        <f t="shared" ref="K19:K24" si="4">J19/$J$28</f>
        <v>0.14095238095238094</v>
      </c>
      <c r="L19" s="38"/>
      <c r="M19" s="42" t="s">
        <v>227</v>
      </c>
      <c r="N19" s="44">
        <f>Fiche_EPCI!J40</f>
        <v>4</v>
      </c>
      <c r="O19" s="90">
        <f t="shared" ref="O19:O26" si="5">N19/$N$30</f>
        <v>7.619047619047619E-3</v>
      </c>
      <c r="P19" s="38"/>
      <c r="Q19" s="38"/>
      <c r="R19" s="38"/>
      <c r="S19" s="38"/>
      <c r="T19" s="38"/>
      <c r="U19" s="38"/>
    </row>
    <row r="20" spans="1:22" ht="15" x14ac:dyDescent="0.25">
      <c r="A20" s="42" t="s">
        <v>226</v>
      </c>
      <c r="B20" s="91">
        <f>Fiche_EPCI!B39</f>
        <v>276</v>
      </c>
      <c r="C20" s="58">
        <f>B20/$B$26</f>
        <v>0.52571428571428569</v>
      </c>
      <c r="D20" s="38"/>
      <c r="E20" s="39" t="s">
        <v>201</v>
      </c>
      <c r="F20" s="84">
        <f>Fiche_EPCI!U11</f>
        <v>0</v>
      </c>
      <c r="G20" s="83">
        <f t="shared" si="3"/>
        <v>0</v>
      </c>
      <c r="H20" s="38"/>
      <c r="I20" s="42" t="s">
        <v>81</v>
      </c>
      <c r="J20" s="44">
        <f>Fiche_EPCI!J23</f>
        <v>217</v>
      </c>
      <c r="K20" s="73">
        <f t="shared" si="4"/>
        <v>0.41333333333333333</v>
      </c>
      <c r="L20" s="38"/>
      <c r="M20" s="42" t="s">
        <v>269</v>
      </c>
      <c r="N20" s="44">
        <f>Fiche_EPCI!J41+Fiche_EPCI!J42</f>
        <v>75</v>
      </c>
      <c r="O20" s="90">
        <f t="shared" si="5"/>
        <v>0.14285714285714285</v>
      </c>
      <c r="P20" s="38"/>
      <c r="Q20" s="38"/>
      <c r="R20" s="38"/>
      <c r="S20" s="38"/>
      <c r="T20" s="38"/>
      <c r="U20" s="38"/>
    </row>
    <row r="21" spans="1:22" ht="15" x14ac:dyDescent="0.25">
      <c r="A21" s="42" t="s">
        <v>5</v>
      </c>
      <c r="B21" s="91">
        <f>Fiche_EPCI!B40</f>
        <v>114</v>
      </c>
      <c r="C21" s="58">
        <f>B21/$B$26</f>
        <v>0.21714285714285714</v>
      </c>
      <c r="D21" s="54"/>
      <c r="E21" s="39"/>
      <c r="F21" s="62"/>
      <c r="G21" s="92"/>
      <c r="H21" s="38"/>
      <c r="I21" s="42" t="s">
        <v>82</v>
      </c>
      <c r="J21" s="44">
        <f>Fiche_EPCI!J24</f>
        <v>159</v>
      </c>
      <c r="K21" s="73">
        <f t="shared" si="4"/>
        <v>0.30285714285714288</v>
      </c>
      <c r="L21" s="38"/>
      <c r="M21" s="42" t="s">
        <v>270</v>
      </c>
      <c r="N21" s="44">
        <f>Fiche_EPCI!J43+Fiche_EPCI!J44</f>
        <v>155</v>
      </c>
      <c r="O21" s="90">
        <f t="shared" si="5"/>
        <v>0.29523809523809524</v>
      </c>
      <c r="P21" s="38"/>
      <c r="Q21" s="38"/>
      <c r="R21" s="38"/>
      <c r="S21" s="38"/>
      <c r="T21" s="38"/>
      <c r="U21" s="38"/>
    </row>
    <row r="22" spans="1:22" ht="15" x14ac:dyDescent="0.25">
      <c r="A22" s="42" t="s">
        <v>271</v>
      </c>
      <c r="B22" s="91">
        <f>Fiche_EPCI!B41+Fiche_EPCI!B42+Fiche_EPCI!B43+Fiche_EPCI!B44+Fiche_EPCI!B45</f>
        <v>135</v>
      </c>
      <c r="C22" s="58">
        <f>B22/$B$26</f>
        <v>0.25714285714285712</v>
      </c>
      <c r="E22" s="63"/>
      <c r="F22" s="64">
        <f>SUM(F14:F20)</f>
        <v>525</v>
      </c>
      <c r="G22" s="93">
        <f>SUM(G14:G20)</f>
        <v>0.99999999999999989</v>
      </c>
      <c r="H22" s="38"/>
      <c r="I22" s="42" t="s">
        <v>83</v>
      </c>
      <c r="J22" s="44">
        <f>Fiche_EPCI!J25</f>
        <v>52</v>
      </c>
      <c r="K22" s="73">
        <f t="shared" si="4"/>
        <v>9.9047619047619051E-2</v>
      </c>
      <c r="L22" s="38"/>
      <c r="M22" s="42" t="s">
        <v>272</v>
      </c>
      <c r="N22" s="44">
        <f>Fiche_EPCI!J45+Fiche_EPCI!J46</f>
        <v>111</v>
      </c>
      <c r="O22" s="90">
        <f t="shared" si="5"/>
        <v>0.21142857142857144</v>
      </c>
      <c r="P22" s="38"/>
      <c r="Q22" s="38"/>
      <c r="R22" s="38"/>
      <c r="S22" s="38"/>
      <c r="T22" s="38"/>
      <c r="U22" s="38"/>
    </row>
    <row r="23" spans="1:22" ht="15" x14ac:dyDescent="0.25">
      <c r="A23" s="42"/>
      <c r="B23" s="59"/>
      <c r="C23" s="94"/>
      <c r="H23" s="38"/>
      <c r="I23" s="42" t="s">
        <v>263</v>
      </c>
      <c r="J23" s="44">
        <f>Fiche_EPCI!J26+Fiche_EPCI!J27+Fiche_EPCI!J28+Fiche_EPCI!J29+Fiche_EPCI!J30+Fiche_EPCI!J31+Fiche_EPCI!J32</f>
        <v>14</v>
      </c>
      <c r="K23" s="73">
        <f t="shared" si="4"/>
        <v>2.6666666666666668E-2</v>
      </c>
      <c r="L23" s="38"/>
      <c r="M23" s="95" t="s">
        <v>273</v>
      </c>
      <c r="N23" s="44">
        <f>Fiche_EPCI!J47+Fiche_EPCI!J48</f>
        <v>80</v>
      </c>
      <c r="O23" s="90">
        <f t="shared" si="5"/>
        <v>0.15238095238095239</v>
      </c>
      <c r="P23" s="38"/>
      <c r="Q23" s="38"/>
      <c r="R23" s="38"/>
      <c r="S23" s="38"/>
      <c r="T23" s="38"/>
      <c r="U23" s="38"/>
    </row>
    <row r="24" spans="1:22" ht="15" x14ac:dyDescent="0.25">
      <c r="A24" s="55" t="s">
        <v>274</v>
      </c>
      <c r="B24" s="96">
        <f>Fiche_EPCI!B47</f>
        <v>19.819600251749439</v>
      </c>
      <c r="C24" s="94"/>
      <c r="E24" s="38"/>
      <c r="F24" s="38"/>
      <c r="G24" s="38"/>
      <c r="H24" s="38"/>
      <c r="I24" s="42" t="s">
        <v>201</v>
      </c>
      <c r="J24" s="44">
        <f>Fiche_EPCI!J33</f>
        <v>9</v>
      </c>
      <c r="K24" s="73">
        <f t="shared" si="4"/>
        <v>1.7142857142857144E-2</v>
      </c>
      <c r="L24" s="38"/>
      <c r="M24" s="42" t="s">
        <v>275</v>
      </c>
      <c r="N24" s="44">
        <f>Fiche_EPCI!J49+Fiche_EPCI!J50</f>
        <v>61</v>
      </c>
      <c r="O24" s="90">
        <f t="shared" si="5"/>
        <v>0.11619047619047619</v>
      </c>
      <c r="P24" s="38"/>
      <c r="Q24" s="38"/>
      <c r="R24" s="38"/>
      <c r="S24" s="38"/>
      <c r="T24" s="38"/>
      <c r="U24" s="38"/>
    </row>
    <row r="25" spans="1:22" ht="18.75" x14ac:dyDescent="0.3">
      <c r="A25" s="42"/>
      <c r="B25" s="97"/>
      <c r="C25" s="94"/>
      <c r="E25" s="66" t="s">
        <v>223</v>
      </c>
      <c r="F25" s="67"/>
      <c r="G25" s="68"/>
      <c r="H25" s="38"/>
      <c r="I25" s="42"/>
      <c r="J25" s="46"/>
      <c r="K25" s="60"/>
      <c r="L25" s="38"/>
      <c r="M25" s="42" t="s">
        <v>276</v>
      </c>
      <c r="N25" s="44">
        <f>Fiche_EPCI!J51+Fiche_EPCI!J52</f>
        <v>39</v>
      </c>
      <c r="O25" s="90">
        <f t="shared" si="5"/>
        <v>7.4285714285714288E-2</v>
      </c>
      <c r="P25" s="38"/>
      <c r="Q25" s="38"/>
      <c r="R25" s="38"/>
      <c r="S25" s="38"/>
      <c r="T25" s="38"/>
      <c r="U25" s="38"/>
    </row>
    <row r="26" spans="1:22" ht="18" customHeight="1" x14ac:dyDescent="0.25">
      <c r="A26" s="51"/>
      <c r="B26" s="98">
        <f>SUM(B20:B22)</f>
        <v>525</v>
      </c>
      <c r="C26" s="93">
        <f>B26/$B$26</f>
        <v>1</v>
      </c>
      <c r="E26" s="39"/>
      <c r="F26" s="40"/>
      <c r="G26" s="41"/>
      <c r="H26" s="38"/>
      <c r="I26" s="55" t="s">
        <v>220</v>
      </c>
      <c r="J26" s="56">
        <f>Fiche_EPCI!J35</f>
        <v>978.05785104720439</v>
      </c>
      <c r="K26" s="60"/>
      <c r="L26" s="38"/>
      <c r="M26" s="42" t="s">
        <v>201</v>
      </c>
      <c r="N26" s="44">
        <f>Fiche_EPCI!J53</f>
        <v>0</v>
      </c>
      <c r="O26" s="90">
        <f t="shared" si="5"/>
        <v>0</v>
      </c>
      <c r="P26" s="38"/>
      <c r="Q26" s="38"/>
      <c r="R26" s="38"/>
      <c r="S26" s="38"/>
      <c r="T26" s="38"/>
      <c r="U26" s="38"/>
    </row>
    <row r="27" spans="1:22" x14ac:dyDescent="0.2">
      <c r="E27" s="42" t="s">
        <v>33</v>
      </c>
      <c r="F27" s="44">
        <f>Fiche_EPCI!F40</f>
        <v>199</v>
      </c>
      <c r="G27" s="58">
        <f t="shared" ref="G27:G32" si="6">F27/$F$36</f>
        <v>0.37904761904761902</v>
      </c>
      <c r="H27" s="38"/>
      <c r="I27" s="42"/>
      <c r="J27" s="46"/>
      <c r="K27" s="45"/>
      <c r="L27" s="38"/>
      <c r="M27" s="95"/>
      <c r="N27" s="46"/>
      <c r="O27" s="99"/>
      <c r="P27" s="38"/>
      <c r="Q27" s="38"/>
      <c r="R27" s="38"/>
      <c r="S27" s="38"/>
      <c r="T27" s="38"/>
      <c r="U27" s="38"/>
    </row>
    <row r="28" spans="1:22" ht="12.6" customHeight="1" x14ac:dyDescent="0.2">
      <c r="B28" s="57"/>
      <c r="E28" s="42" t="s">
        <v>34</v>
      </c>
      <c r="F28" s="44">
        <f>Fiche_EPCI!F41</f>
        <v>131</v>
      </c>
      <c r="G28" s="58">
        <f t="shared" si="6"/>
        <v>0.24952380952380954</v>
      </c>
      <c r="H28" s="38"/>
      <c r="I28" s="51"/>
      <c r="J28" s="49">
        <f>SUM(J19:J24)</f>
        <v>525</v>
      </c>
      <c r="K28" s="52">
        <f>SUM(K19:K24)</f>
        <v>1</v>
      </c>
      <c r="L28" s="38"/>
      <c r="M28" s="55" t="s">
        <v>249</v>
      </c>
      <c r="N28" s="100">
        <f>Fiche_EPCI!J55</f>
        <v>44.392380952380954</v>
      </c>
      <c r="O28" s="99"/>
      <c r="P28" s="38"/>
      <c r="Q28" s="38"/>
      <c r="R28" s="38"/>
      <c r="S28" s="38"/>
      <c r="T28" s="38"/>
      <c r="U28" s="38"/>
    </row>
    <row r="29" spans="1:22" ht="18.75" x14ac:dyDescent="0.3">
      <c r="A29" s="66" t="s">
        <v>190</v>
      </c>
      <c r="B29" s="67"/>
      <c r="C29" s="68"/>
      <c r="D29" s="54"/>
      <c r="E29" s="42" t="s">
        <v>35</v>
      </c>
      <c r="F29" s="44">
        <f>Fiche_EPCI!F42</f>
        <v>87</v>
      </c>
      <c r="G29" s="58">
        <f t="shared" si="6"/>
        <v>0.1657142857142857</v>
      </c>
      <c r="H29" s="38"/>
      <c r="I29" s="38"/>
      <c r="J29" s="38"/>
      <c r="K29" s="38"/>
      <c r="L29" s="38"/>
      <c r="M29" s="42"/>
      <c r="N29" s="46"/>
      <c r="O29" s="99"/>
      <c r="T29" s="38"/>
      <c r="U29" s="38"/>
    </row>
    <row r="30" spans="1:22" ht="14.45" customHeight="1" x14ac:dyDescent="0.3">
      <c r="A30" s="39"/>
      <c r="B30" s="40"/>
      <c r="C30" s="41"/>
      <c r="D30" s="54"/>
      <c r="E30" s="42" t="s">
        <v>36</v>
      </c>
      <c r="F30" s="44">
        <f>Fiche_EPCI!F43</f>
        <v>55</v>
      </c>
      <c r="G30" s="58">
        <f t="shared" si="6"/>
        <v>0.10476190476190476</v>
      </c>
      <c r="H30" s="38"/>
      <c r="I30" s="66" t="s">
        <v>236</v>
      </c>
      <c r="J30" s="67"/>
      <c r="K30" s="68"/>
      <c r="L30" s="38"/>
      <c r="M30" s="51"/>
      <c r="N30" s="49">
        <f>SUM(N19:N26)</f>
        <v>525</v>
      </c>
      <c r="O30" s="101">
        <f>SUM(O19:O26)</f>
        <v>1</v>
      </c>
      <c r="T30" s="38"/>
      <c r="U30" s="38"/>
    </row>
    <row r="31" spans="1:22" x14ac:dyDescent="0.2">
      <c r="A31" s="42" t="s">
        <v>58</v>
      </c>
      <c r="B31" s="44">
        <f>Fiche_EPCI!J7</f>
        <v>1</v>
      </c>
      <c r="C31" s="74">
        <f t="shared" ref="C31:C39" si="7">B31/$B$41</f>
        <v>1.9083969465648854E-3</v>
      </c>
      <c r="D31" s="54"/>
      <c r="E31" s="42" t="s">
        <v>277</v>
      </c>
      <c r="F31" s="44">
        <f>Fiche_EPCI!F44+Fiche_EPCI!F45+Fiche_EPCI!F46+Fiche_EPCI!F47</f>
        <v>53</v>
      </c>
      <c r="G31" s="58">
        <f t="shared" si="6"/>
        <v>0.10095238095238095</v>
      </c>
      <c r="H31" s="38"/>
      <c r="I31" s="39"/>
      <c r="J31" s="40"/>
      <c r="K31" s="41"/>
      <c r="L31" s="38"/>
      <c r="T31" s="38"/>
      <c r="U31" s="38"/>
    </row>
    <row r="32" spans="1:22" ht="15.6" customHeight="1" x14ac:dyDescent="0.25">
      <c r="A32" s="42" t="s">
        <v>193</v>
      </c>
      <c r="B32" s="44">
        <f>Fiche_EPCI!J8</f>
        <v>14</v>
      </c>
      <c r="C32" s="74">
        <f t="shared" si="7"/>
        <v>2.6717557251908396E-2</v>
      </c>
      <c r="D32" s="54"/>
      <c r="E32" s="42" t="s">
        <v>201</v>
      </c>
      <c r="F32" s="44">
        <f>J48</f>
        <v>0</v>
      </c>
      <c r="G32" s="58">
        <f t="shared" si="6"/>
        <v>0</v>
      </c>
      <c r="H32" s="38"/>
      <c r="I32" s="39" t="s">
        <v>241</v>
      </c>
      <c r="J32" s="102">
        <f>Fiche_EPCI!N48</f>
        <v>397</v>
      </c>
      <c r="K32" s="61">
        <f>J32/$J$37</f>
        <v>0.75619047619047619</v>
      </c>
      <c r="L32" s="38"/>
      <c r="P32" s="38"/>
      <c r="U32" s="38"/>
      <c r="V32" s="38"/>
    </row>
    <row r="33" spans="1:22" ht="18.75" x14ac:dyDescent="0.3">
      <c r="A33" s="42" t="s">
        <v>198</v>
      </c>
      <c r="B33" s="44">
        <f>Fiche_EPCI!J10</f>
        <v>35</v>
      </c>
      <c r="C33" s="74">
        <f t="shared" si="7"/>
        <v>6.6793893129770993E-2</v>
      </c>
      <c r="D33" s="54"/>
      <c r="E33" s="42"/>
      <c r="F33" s="46"/>
      <c r="G33" s="60"/>
      <c r="H33" s="38"/>
      <c r="I33" s="39" t="s">
        <v>244</v>
      </c>
      <c r="J33" s="102">
        <f>Fiche_EPCI!N49</f>
        <v>92</v>
      </c>
      <c r="K33" s="61">
        <f>J33/$J$37</f>
        <v>0.17523809523809525</v>
      </c>
      <c r="L33" s="38"/>
      <c r="M33" s="66" t="s">
        <v>278</v>
      </c>
      <c r="N33" s="87"/>
      <c r="O33" s="88"/>
      <c r="P33" s="38"/>
      <c r="U33" s="38"/>
      <c r="V33" s="38"/>
    </row>
    <row r="34" spans="1:22" ht="16.7" customHeight="1" x14ac:dyDescent="0.25">
      <c r="A34" s="42" t="s">
        <v>200</v>
      </c>
      <c r="B34" s="44">
        <f>Fiche_EPCI!J11</f>
        <v>182</v>
      </c>
      <c r="C34" s="74">
        <f t="shared" si="7"/>
        <v>0.34732824427480918</v>
      </c>
      <c r="D34" s="54"/>
      <c r="E34" s="55" t="s">
        <v>242</v>
      </c>
      <c r="F34" s="103">
        <f>Fiche_EPCI!F49</f>
        <v>2.3790476190476189</v>
      </c>
      <c r="G34" s="60"/>
      <c r="H34" s="38"/>
      <c r="I34" s="39" t="s">
        <v>246</v>
      </c>
      <c r="J34" s="102">
        <f>Fiche_EPCI!N50</f>
        <v>11</v>
      </c>
      <c r="K34" s="61">
        <f>J34/$J$37</f>
        <v>2.0952380952380951E-2</v>
      </c>
      <c r="L34" s="38"/>
      <c r="M34" s="39"/>
      <c r="N34" s="40"/>
      <c r="O34" s="41"/>
      <c r="P34" s="38"/>
      <c r="U34" s="38"/>
      <c r="V34" s="38"/>
    </row>
    <row r="35" spans="1:22" ht="15" x14ac:dyDescent="0.25">
      <c r="A35" s="42" t="s">
        <v>66</v>
      </c>
      <c r="B35" s="44">
        <f>Fiche_EPCI!J12</f>
        <v>113</v>
      </c>
      <c r="C35" s="74">
        <f t="shared" si="7"/>
        <v>0.21564885496183206</v>
      </c>
      <c r="D35" s="54"/>
      <c r="E35" s="42"/>
      <c r="F35" s="46"/>
      <c r="G35" s="75"/>
      <c r="H35" s="38"/>
      <c r="I35" s="39" t="s">
        <v>248</v>
      </c>
      <c r="J35" s="102">
        <f>Fiche_EPCI!N51</f>
        <v>7</v>
      </c>
      <c r="K35" s="61">
        <f>J35/$J$37</f>
        <v>1.3333333333333334E-2</v>
      </c>
      <c r="L35" s="38"/>
      <c r="M35" s="42" t="s">
        <v>279</v>
      </c>
      <c r="N35" s="44">
        <f>Fiche_EPCI!R23</f>
        <v>37</v>
      </c>
      <c r="O35" s="58">
        <f>N35/$N$41</f>
        <v>7.047619047619047E-2</v>
      </c>
    </row>
    <row r="36" spans="1:22" ht="15" x14ac:dyDescent="0.25">
      <c r="A36" s="42" t="s">
        <v>67</v>
      </c>
      <c r="B36" s="44">
        <f>Fiche_EPCI!J13</f>
        <v>6</v>
      </c>
      <c r="C36" s="74">
        <f t="shared" si="7"/>
        <v>1.1450381679389313E-2</v>
      </c>
      <c r="D36" s="54"/>
      <c r="E36" s="51"/>
      <c r="F36" s="49">
        <f>SUM(F27:F32)</f>
        <v>525</v>
      </c>
      <c r="G36" s="52">
        <f>SUM(G27:G32)</f>
        <v>0.99999999999999989</v>
      </c>
      <c r="H36" s="38"/>
      <c r="I36" s="39" t="s">
        <v>201</v>
      </c>
      <c r="J36" s="102">
        <f>Fiche_EPCI!N52</f>
        <v>18</v>
      </c>
      <c r="K36" s="61">
        <f>J36/$J$37</f>
        <v>3.4285714285714287E-2</v>
      </c>
      <c r="L36" s="38"/>
      <c r="M36" s="42" t="s">
        <v>160</v>
      </c>
      <c r="N36" s="44">
        <f>Fiche_EPCI!R24</f>
        <v>151</v>
      </c>
      <c r="O36" s="58">
        <f>N36/$N$41</f>
        <v>0.28761904761904761</v>
      </c>
    </row>
    <row r="37" spans="1:22" ht="15" x14ac:dyDescent="0.25">
      <c r="A37" s="42" t="s">
        <v>69</v>
      </c>
      <c r="B37" s="44">
        <f>Fiche_EPCI!J14</f>
        <v>43</v>
      </c>
      <c r="C37" s="74">
        <f t="shared" si="7"/>
        <v>8.2061068702290074E-2</v>
      </c>
      <c r="D37" s="54"/>
      <c r="E37" s="38"/>
      <c r="F37" s="38"/>
      <c r="G37" s="38"/>
      <c r="H37" s="38"/>
      <c r="I37" s="63"/>
      <c r="J37" s="64">
        <f>SUM(J32:J36)</f>
        <v>525</v>
      </c>
      <c r="K37" s="65">
        <f>SUM(K32:K36)</f>
        <v>1</v>
      </c>
      <c r="L37" s="38"/>
      <c r="M37" s="42" t="s">
        <v>161</v>
      </c>
      <c r="N37" s="44">
        <f>Fiche_EPCI!R25</f>
        <v>198</v>
      </c>
      <c r="O37" s="58">
        <f>N37/$N$41</f>
        <v>0.37714285714285717</v>
      </c>
    </row>
    <row r="38" spans="1:22" x14ac:dyDescent="0.2">
      <c r="A38" s="42" t="s">
        <v>201</v>
      </c>
      <c r="B38" s="44">
        <f>Fiche_EPCI!J15</f>
        <v>0</v>
      </c>
      <c r="C38" s="74">
        <f t="shared" si="7"/>
        <v>0</v>
      </c>
      <c r="D38" s="54"/>
      <c r="H38" s="38"/>
      <c r="I38" s="38"/>
      <c r="J38" s="38"/>
      <c r="K38" s="38"/>
      <c r="L38" s="38"/>
      <c r="M38" s="42" t="s">
        <v>162</v>
      </c>
      <c r="N38" s="44">
        <f>Fiche_EPCI!R26</f>
        <v>117</v>
      </c>
      <c r="O38" s="58">
        <f>N38/$N$41</f>
        <v>0.22285714285714286</v>
      </c>
    </row>
    <row r="39" spans="1:22" ht="18.75" x14ac:dyDescent="0.3">
      <c r="A39" s="42" t="s">
        <v>61</v>
      </c>
      <c r="B39" s="44">
        <f>Fiche_EPCI!J9</f>
        <v>130</v>
      </c>
      <c r="C39" s="74">
        <f t="shared" si="7"/>
        <v>0.24809160305343511</v>
      </c>
      <c r="D39" s="54"/>
      <c r="H39" s="38"/>
      <c r="I39" s="66" t="s">
        <v>218</v>
      </c>
      <c r="J39" s="67"/>
      <c r="K39" s="68"/>
      <c r="L39" s="38"/>
      <c r="M39" s="42" t="s">
        <v>280</v>
      </c>
      <c r="N39" s="44">
        <f>Fiche_EPCI!R27+Fiche_EPCI!R28</f>
        <v>22</v>
      </c>
      <c r="O39" s="58">
        <f>N39/$N$41</f>
        <v>4.1904761904761903E-2</v>
      </c>
    </row>
    <row r="40" spans="1:22" x14ac:dyDescent="0.2">
      <c r="A40" s="42"/>
      <c r="B40" s="46"/>
      <c r="C40" s="47"/>
      <c r="D40" s="54"/>
      <c r="H40" s="38"/>
      <c r="I40" s="53" t="s">
        <v>151</v>
      </c>
      <c r="J40" s="44">
        <f>Fiche_EPCI!R33</f>
        <v>236</v>
      </c>
      <c r="K40" s="43">
        <f t="shared" ref="K40:K47" si="8">J40/$J$49</f>
        <v>0.44952380952380955</v>
      </c>
      <c r="L40" s="38"/>
      <c r="M40" s="42"/>
      <c r="N40" s="46"/>
      <c r="O40" s="60"/>
    </row>
    <row r="41" spans="1:22" x14ac:dyDescent="0.2">
      <c r="A41" s="48"/>
      <c r="B41" s="49">
        <f>SUM(B31:B39)</f>
        <v>524</v>
      </c>
      <c r="C41" s="50">
        <f>SUM(C31:C39)</f>
        <v>1</v>
      </c>
      <c r="D41" s="54"/>
      <c r="H41" s="38"/>
      <c r="I41" s="53" t="s">
        <v>219</v>
      </c>
      <c r="J41" s="44">
        <f>Fiche_EPCI!R34</f>
        <v>4</v>
      </c>
      <c r="K41" s="43">
        <f t="shared" si="8"/>
        <v>7.619047619047619E-3</v>
      </c>
      <c r="L41" s="38"/>
      <c r="M41" s="51"/>
      <c r="N41" s="49">
        <f>SUM(N35:N39)</f>
        <v>525</v>
      </c>
      <c r="O41" s="52">
        <f>SUM(O35:O39)</f>
        <v>1</v>
      </c>
    </row>
    <row r="42" spans="1:22" ht="15" x14ac:dyDescent="0.25">
      <c r="A42" s="40"/>
      <c r="B42" s="104"/>
      <c r="C42" s="105"/>
      <c r="D42" s="54"/>
      <c r="H42" s="38"/>
      <c r="I42" s="53" t="s">
        <v>153</v>
      </c>
      <c r="J42" s="44">
        <f>Fiche_EPCI!R35</f>
        <v>59</v>
      </c>
      <c r="K42" s="43">
        <f t="shared" si="8"/>
        <v>0.11238095238095239</v>
      </c>
      <c r="L42" s="38"/>
      <c r="M42" s="38"/>
      <c r="N42" s="38"/>
      <c r="O42" s="38"/>
    </row>
    <row r="43" spans="1:22" ht="15" x14ac:dyDescent="0.25">
      <c r="A43" s="40"/>
      <c r="B43" s="104"/>
      <c r="C43" s="105"/>
      <c r="D43" s="54"/>
      <c r="H43" s="38"/>
      <c r="I43" s="53" t="s">
        <v>154</v>
      </c>
      <c r="J43" s="44">
        <f>Fiche_EPCI!R36</f>
        <v>49</v>
      </c>
      <c r="K43" s="43">
        <f t="shared" si="8"/>
        <v>9.3333333333333338E-2</v>
      </c>
      <c r="L43" s="38"/>
      <c r="M43" s="38"/>
      <c r="N43" s="38"/>
      <c r="O43" s="38"/>
    </row>
    <row r="44" spans="1:22" ht="15" x14ac:dyDescent="0.25">
      <c r="A44" s="79"/>
      <c r="B44" s="106"/>
      <c r="C44" s="107"/>
      <c r="D44" s="54"/>
      <c r="H44" s="38"/>
      <c r="I44" s="53" t="s">
        <v>222</v>
      </c>
      <c r="J44" s="44">
        <f>Fiche_EPCI!R37</f>
        <v>18</v>
      </c>
      <c r="K44" s="43">
        <f t="shared" si="8"/>
        <v>3.4285714285714287E-2</v>
      </c>
      <c r="L44" s="38"/>
    </row>
    <row r="45" spans="1:22" ht="15" x14ac:dyDescent="0.25">
      <c r="A45" s="79"/>
      <c r="B45" s="106"/>
      <c r="C45" s="107"/>
      <c r="D45" s="54"/>
      <c r="H45" s="38"/>
      <c r="I45" s="53" t="s">
        <v>156</v>
      </c>
      <c r="J45" s="44">
        <f>Fiche_EPCI!R38</f>
        <v>73</v>
      </c>
      <c r="K45" s="43">
        <f t="shared" si="8"/>
        <v>0.13904761904761906</v>
      </c>
      <c r="L45" s="38"/>
    </row>
    <row r="46" spans="1:22" ht="15" x14ac:dyDescent="0.25">
      <c r="A46" s="79"/>
      <c r="B46" s="106"/>
      <c r="C46" s="107"/>
      <c r="D46" s="54"/>
      <c r="H46" s="38"/>
      <c r="I46" s="53" t="s">
        <v>157</v>
      </c>
      <c r="J46" s="44">
        <f>Fiche_EPCI!R39</f>
        <v>60</v>
      </c>
      <c r="K46" s="43">
        <f t="shared" si="8"/>
        <v>0.11428571428571428</v>
      </c>
      <c r="L46" s="38"/>
    </row>
    <row r="47" spans="1:22" ht="15" x14ac:dyDescent="0.25">
      <c r="A47" s="79"/>
      <c r="B47" s="106"/>
      <c r="C47" s="107"/>
      <c r="D47" s="54"/>
      <c r="H47" s="38"/>
      <c r="I47" s="53" t="s">
        <v>55</v>
      </c>
      <c r="J47" s="44">
        <f>Fiche_EPCI!R40</f>
        <v>26</v>
      </c>
      <c r="K47" s="43">
        <f t="shared" si="8"/>
        <v>4.9523809523809526E-2</v>
      </c>
      <c r="L47" s="38"/>
    </row>
    <row r="48" spans="1:22" ht="15" x14ac:dyDescent="0.25">
      <c r="A48" s="79"/>
      <c r="B48" s="106"/>
      <c r="C48" s="107"/>
      <c r="D48" s="54"/>
      <c r="H48" s="38"/>
      <c r="I48" s="42"/>
      <c r="J48" s="46"/>
      <c r="K48" s="47"/>
      <c r="L48" s="38"/>
    </row>
    <row r="49" spans="1:12" ht="15" x14ac:dyDescent="0.25">
      <c r="A49" s="79"/>
      <c r="B49" s="106"/>
      <c r="C49" s="107"/>
      <c r="D49" s="54"/>
      <c r="H49" s="38"/>
      <c r="I49" s="51"/>
      <c r="J49" s="49">
        <f>SUM(J40:J47)</f>
        <v>525</v>
      </c>
      <c r="K49" s="50">
        <f>SUM(K40:K47)</f>
        <v>1</v>
      </c>
      <c r="L49" s="38"/>
    </row>
    <row r="50" spans="1:12" ht="15" x14ac:dyDescent="0.25">
      <c r="A50" s="79"/>
      <c r="B50" s="106"/>
      <c r="C50" s="107"/>
      <c r="D50" s="54"/>
      <c r="H50" s="38"/>
      <c r="I50" s="97"/>
      <c r="J50" s="108"/>
      <c r="K50" s="109"/>
      <c r="L50" s="38"/>
    </row>
    <row r="51" spans="1:12" ht="15" x14ac:dyDescent="0.25">
      <c r="A51" s="79"/>
      <c r="B51" s="106"/>
      <c r="C51" s="107"/>
      <c r="D51" s="54"/>
      <c r="H51" s="38"/>
      <c r="I51" s="97"/>
      <c r="J51" s="108"/>
      <c r="K51" s="109"/>
      <c r="L51" s="38"/>
    </row>
    <row r="52" spans="1:12" ht="15" x14ac:dyDescent="0.25">
      <c r="A52" s="79"/>
      <c r="B52" s="106"/>
      <c r="C52" s="107"/>
      <c r="D52" s="54"/>
      <c r="H52" s="38"/>
      <c r="I52" s="97"/>
      <c r="J52" s="108"/>
      <c r="K52" s="109"/>
      <c r="L52" s="38"/>
    </row>
  </sheetData>
  <sheetProtection sheet="1" objects="1" scenarios="1"/>
  <mergeCells count="15">
    <mergeCell ref="I30:K30"/>
    <mergeCell ref="M33:O33"/>
    <mergeCell ref="I39:K39"/>
    <mergeCell ref="E12:G12"/>
    <mergeCell ref="I17:K17"/>
    <mergeCell ref="M17:O17"/>
    <mergeCell ref="A18:C18"/>
    <mergeCell ref="E25:G25"/>
    <mergeCell ref="A29:C29"/>
    <mergeCell ref="A1:O1"/>
    <mergeCell ref="A2:O2"/>
    <mergeCell ref="A3:C3"/>
    <mergeCell ref="E3:G3"/>
    <mergeCell ref="I3:K3"/>
    <mergeCell ref="M3:O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4" width="10.140625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91</v>
      </c>
      <c r="R1" s="2" t="s">
        <v>55</v>
      </c>
      <c r="S1" s="2" t="s">
        <v>27</v>
      </c>
    </row>
    <row r="2" spans="1:19" s="1" customFormat="1" ht="14.1" customHeight="1" x14ac:dyDescent="0.2">
      <c r="A2" s="1">
        <v>200017341</v>
      </c>
      <c r="B2" s="17" t="s">
        <v>166</v>
      </c>
      <c r="C2" s="25">
        <v>168</v>
      </c>
      <c r="D2" s="34">
        <v>2434.7380952380954</v>
      </c>
      <c r="E2" s="25">
        <v>4</v>
      </c>
      <c r="F2" s="25">
        <v>14</v>
      </c>
      <c r="G2" s="25">
        <v>47</v>
      </c>
      <c r="H2" s="25">
        <v>38</v>
      </c>
      <c r="I2" s="25">
        <v>33</v>
      </c>
      <c r="J2" s="25">
        <v>9</v>
      </c>
      <c r="K2" s="25">
        <v>9</v>
      </c>
      <c r="L2" s="25">
        <v>4</v>
      </c>
      <c r="M2" s="25">
        <v>2</v>
      </c>
      <c r="N2" s="25">
        <v>1</v>
      </c>
      <c r="O2" s="25">
        <v>1</v>
      </c>
      <c r="P2" s="25">
        <v>2</v>
      </c>
      <c r="Q2" s="25"/>
      <c r="R2" s="25">
        <v>4</v>
      </c>
      <c r="S2" s="25"/>
    </row>
    <row r="3" spans="1:19" s="1" customFormat="1" ht="18.2" customHeight="1" x14ac:dyDescent="0.2">
      <c r="A3" s="1">
        <v>200022986</v>
      </c>
      <c r="B3" s="7" t="s">
        <v>167</v>
      </c>
      <c r="C3" s="26">
        <v>603</v>
      </c>
      <c r="D3" s="32">
        <v>1713.0812603648424</v>
      </c>
      <c r="E3" s="26">
        <v>7</v>
      </c>
      <c r="F3" s="25">
        <v>15</v>
      </c>
      <c r="G3" s="25">
        <v>93</v>
      </c>
      <c r="H3" s="25">
        <v>147</v>
      </c>
      <c r="I3" s="25">
        <v>152</v>
      </c>
      <c r="J3" s="25">
        <v>88</v>
      </c>
      <c r="K3" s="25">
        <v>50</v>
      </c>
      <c r="L3" s="25">
        <v>27</v>
      </c>
      <c r="M3" s="25">
        <v>7</v>
      </c>
      <c r="N3" s="25">
        <v>3</v>
      </c>
      <c r="O3" s="25"/>
      <c r="P3" s="25">
        <v>5</v>
      </c>
      <c r="Q3" s="25"/>
      <c r="R3" s="25">
        <v>9</v>
      </c>
      <c r="S3" s="25"/>
    </row>
    <row r="4" spans="1:19" s="1" customFormat="1" ht="22.7" customHeight="1" x14ac:dyDescent="0.2">
      <c r="A4" s="13">
        <v>200042646</v>
      </c>
      <c r="B4" s="22" t="s">
        <v>168</v>
      </c>
      <c r="C4" s="4">
        <v>200</v>
      </c>
      <c r="D4" s="6">
        <v>1270.4749999999999</v>
      </c>
      <c r="E4" s="4">
        <v>7</v>
      </c>
      <c r="F4" s="4">
        <v>21</v>
      </c>
      <c r="G4" s="4">
        <v>62</v>
      </c>
      <c r="H4" s="4">
        <v>55</v>
      </c>
      <c r="I4" s="4">
        <v>30</v>
      </c>
      <c r="J4" s="4">
        <v>3</v>
      </c>
      <c r="K4" s="4">
        <v>8</v>
      </c>
      <c r="L4" s="4">
        <v>1</v>
      </c>
      <c r="M4" s="4">
        <v>1</v>
      </c>
      <c r="N4" s="4"/>
      <c r="O4" s="4"/>
      <c r="P4" s="4">
        <v>2</v>
      </c>
      <c r="Q4" s="4">
        <v>1</v>
      </c>
      <c r="R4" s="4">
        <v>9</v>
      </c>
      <c r="S4" s="4"/>
    </row>
    <row r="5" spans="1:19" s="1" customFormat="1" ht="14.1" customHeight="1" x14ac:dyDescent="0.2">
      <c r="A5" s="8">
        <v>200042653</v>
      </c>
      <c r="B5" s="16" t="s">
        <v>169</v>
      </c>
      <c r="C5" s="23">
        <v>122</v>
      </c>
      <c r="D5" s="31">
        <v>1312.8360655737704</v>
      </c>
      <c r="E5" s="23">
        <v>2</v>
      </c>
      <c r="F5" s="23">
        <v>4</v>
      </c>
      <c r="G5" s="23">
        <v>39</v>
      </c>
      <c r="H5" s="23">
        <v>41</v>
      </c>
      <c r="I5" s="23">
        <v>14</v>
      </c>
      <c r="J5" s="23">
        <v>7</v>
      </c>
      <c r="K5" s="23">
        <v>4</v>
      </c>
      <c r="L5" s="23">
        <v>6</v>
      </c>
      <c r="M5" s="23">
        <v>2</v>
      </c>
      <c r="N5" s="23"/>
      <c r="O5" s="23"/>
      <c r="P5" s="23"/>
      <c r="Q5" s="23"/>
      <c r="R5" s="23">
        <v>3</v>
      </c>
      <c r="S5" s="23"/>
    </row>
    <row r="6" spans="1:19" s="1" customFormat="1" ht="14.1" customHeight="1" x14ac:dyDescent="0.2">
      <c r="A6" s="8">
        <v>200066348</v>
      </c>
      <c r="B6" s="16" t="s">
        <v>171</v>
      </c>
      <c r="C6" s="23">
        <v>57</v>
      </c>
      <c r="D6" s="31">
        <v>1116.3508771929824</v>
      </c>
      <c r="E6" s="23">
        <v>1</v>
      </c>
      <c r="F6" s="23">
        <v>4</v>
      </c>
      <c r="G6" s="23">
        <v>18</v>
      </c>
      <c r="H6" s="23">
        <v>16</v>
      </c>
      <c r="I6" s="23">
        <v>12</v>
      </c>
      <c r="J6" s="23">
        <v>2</v>
      </c>
      <c r="K6" s="23"/>
      <c r="L6" s="23">
        <v>1</v>
      </c>
      <c r="M6" s="23"/>
      <c r="N6" s="23"/>
      <c r="O6" s="23"/>
      <c r="P6" s="23"/>
      <c r="Q6" s="23"/>
      <c r="R6" s="23">
        <v>3</v>
      </c>
      <c r="S6" s="23"/>
    </row>
    <row r="7" spans="1:19" s="1" customFormat="1" ht="14.1" customHeight="1" x14ac:dyDescent="0.2">
      <c r="A7" s="8">
        <v>200066355</v>
      </c>
      <c r="B7" s="16" t="s">
        <v>170</v>
      </c>
      <c r="C7" s="23">
        <v>4708</v>
      </c>
      <c r="D7" s="31">
        <v>1586.8627867459643</v>
      </c>
      <c r="E7" s="23">
        <v>41</v>
      </c>
      <c r="F7" s="23">
        <v>243</v>
      </c>
      <c r="G7" s="23">
        <v>1122</v>
      </c>
      <c r="H7" s="23">
        <v>1301</v>
      </c>
      <c r="I7" s="23">
        <v>904</v>
      </c>
      <c r="J7" s="23">
        <v>448</v>
      </c>
      <c r="K7" s="23">
        <v>258</v>
      </c>
      <c r="L7" s="23">
        <v>136</v>
      </c>
      <c r="M7" s="23">
        <v>64</v>
      </c>
      <c r="N7" s="23">
        <v>25</v>
      </c>
      <c r="O7" s="23">
        <v>14</v>
      </c>
      <c r="P7" s="23">
        <v>42</v>
      </c>
      <c r="Q7" s="23">
        <v>2</v>
      </c>
      <c r="R7" s="23">
        <v>108</v>
      </c>
      <c r="S7" s="23"/>
    </row>
    <row r="8" spans="1:19" s="1" customFormat="1" ht="14.1" customHeight="1" x14ac:dyDescent="0.2">
      <c r="A8" s="8">
        <v>200066553</v>
      </c>
      <c r="B8" s="16" t="s">
        <v>172</v>
      </c>
      <c r="C8" s="23">
        <v>18</v>
      </c>
      <c r="D8" s="31">
        <v>1172.1111111111111</v>
      </c>
      <c r="E8" s="23"/>
      <c r="F8" s="23">
        <v>2</v>
      </c>
      <c r="G8" s="23">
        <v>6</v>
      </c>
      <c r="H8" s="23">
        <v>6</v>
      </c>
      <c r="I8" s="23">
        <v>2</v>
      </c>
      <c r="J8" s="23"/>
      <c r="K8" s="23"/>
      <c r="L8" s="23"/>
      <c r="M8" s="23"/>
      <c r="N8" s="23">
        <v>1</v>
      </c>
      <c r="O8" s="23"/>
      <c r="P8" s="23"/>
      <c r="Q8" s="23"/>
      <c r="R8" s="23">
        <v>1</v>
      </c>
      <c r="S8" s="23"/>
    </row>
    <row r="9" spans="1:19" s="1" customFormat="1" ht="14.1" customHeight="1" x14ac:dyDescent="0.2">
      <c r="A9" s="8">
        <v>200071058</v>
      </c>
      <c r="B9" s="16" t="s">
        <v>173</v>
      </c>
      <c r="C9" s="23">
        <v>215</v>
      </c>
      <c r="D9" s="31">
        <v>1288.1488372093024</v>
      </c>
      <c r="E9" s="23">
        <v>6</v>
      </c>
      <c r="F9" s="23">
        <v>8</v>
      </c>
      <c r="G9" s="23">
        <v>54</v>
      </c>
      <c r="H9" s="23">
        <v>67</v>
      </c>
      <c r="I9" s="23">
        <v>49</v>
      </c>
      <c r="J9" s="23">
        <v>18</v>
      </c>
      <c r="K9" s="23">
        <v>4</v>
      </c>
      <c r="L9" s="23">
        <v>3</v>
      </c>
      <c r="M9" s="23">
        <v>1</v>
      </c>
      <c r="N9" s="23"/>
      <c r="O9" s="23"/>
      <c r="P9" s="23"/>
      <c r="Q9" s="23"/>
      <c r="R9" s="23">
        <v>5</v>
      </c>
      <c r="S9" s="23"/>
    </row>
    <row r="10" spans="1:19" s="1" customFormat="1" ht="14.1" customHeight="1" x14ac:dyDescent="0.2">
      <c r="A10" s="8">
        <v>243400017</v>
      </c>
      <c r="B10" s="16" t="s">
        <v>174</v>
      </c>
      <c r="C10" s="23">
        <v>25746</v>
      </c>
      <c r="D10" s="31">
        <v>1610.4493901965354</v>
      </c>
      <c r="E10" s="23">
        <v>321</v>
      </c>
      <c r="F10" s="23">
        <v>1549</v>
      </c>
      <c r="G10" s="23">
        <v>5510</v>
      </c>
      <c r="H10" s="23">
        <v>6269</v>
      </c>
      <c r="I10" s="23">
        <v>5075</v>
      </c>
      <c r="J10" s="23">
        <v>2769</v>
      </c>
      <c r="K10" s="23">
        <v>1732</v>
      </c>
      <c r="L10" s="23">
        <v>1024</v>
      </c>
      <c r="M10" s="23">
        <v>457</v>
      </c>
      <c r="N10" s="23">
        <v>214</v>
      </c>
      <c r="O10" s="23">
        <v>96</v>
      </c>
      <c r="P10" s="23">
        <v>216</v>
      </c>
      <c r="Q10" s="23">
        <v>13</v>
      </c>
      <c r="R10" s="23">
        <v>501</v>
      </c>
      <c r="S10" s="23"/>
    </row>
    <row r="11" spans="1:19" s="1" customFormat="1" ht="14.1" customHeight="1" x14ac:dyDescent="0.2">
      <c r="A11" s="8">
        <v>243400355</v>
      </c>
      <c r="B11" s="16" t="s">
        <v>175</v>
      </c>
      <c r="C11" s="23">
        <v>562</v>
      </c>
      <c r="D11" s="31">
        <v>1599.5071174377224</v>
      </c>
      <c r="E11" s="23">
        <v>4</v>
      </c>
      <c r="F11" s="23">
        <v>41</v>
      </c>
      <c r="G11" s="23">
        <v>161</v>
      </c>
      <c r="H11" s="23">
        <v>154</v>
      </c>
      <c r="I11" s="23">
        <v>102</v>
      </c>
      <c r="J11" s="23">
        <v>38</v>
      </c>
      <c r="K11" s="23">
        <v>23</v>
      </c>
      <c r="L11" s="23">
        <v>13</v>
      </c>
      <c r="M11" s="23">
        <v>4</v>
      </c>
      <c r="N11" s="23">
        <v>2</v>
      </c>
      <c r="O11" s="23"/>
      <c r="P11" s="23">
        <v>4</v>
      </c>
      <c r="Q11" s="23">
        <v>1</v>
      </c>
      <c r="R11" s="23">
        <v>15</v>
      </c>
      <c r="S11" s="23"/>
    </row>
    <row r="12" spans="1:19" s="1" customFormat="1" ht="14.1" customHeight="1" x14ac:dyDescent="0.2">
      <c r="A12" s="10">
        <v>243400470</v>
      </c>
      <c r="B12" s="19" t="s">
        <v>176</v>
      </c>
      <c r="C12" s="24">
        <v>1482</v>
      </c>
      <c r="D12" s="33">
        <v>1645.940620782726</v>
      </c>
      <c r="E12" s="24">
        <v>33</v>
      </c>
      <c r="F12" s="24">
        <v>57</v>
      </c>
      <c r="G12" s="24">
        <v>299</v>
      </c>
      <c r="H12" s="24">
        <v>402</v>
      </c>
      <c r="I12" s="24">
        <v>305</v>
      </c>
      <c r="J12" s="24">
        <v>153</v>
      </c>
      <c r="K12" s="24">
        <v>101</v>
      </c>
      <c r="L12" s="24">
        <v>52</v>
      </c>
      <c r="M12" s="24">
        <v>25</v>
      </c>
      <c r="N12" s="24">
        <v>7</v>
      </c>
      <c r="O12" s="24">
        <v>5</v>
      </c>
      <c r="P12" s="24">
        <v>12</v>
      </c>
      <c r="Q12" s="24">
        <v>2</v>
      </c>
      <c r="R12" s="24">
        <v>29</v>
      </c>
      <c r="S12" s="24"/>
    </row>
    <row r="13" spans="1:19" s="1" customFormat="1" ht="14.1" customHeight="1" x14ac:dyDescent="0.2">
      <c r="A13" s="10">
        <v>243400488</v>
      </c>
      <c r="B13" s="19" t="s">
        <v>177</v>
      </c>
      <c r="C13" s="24">
        <v>436</v>
      </c>
      <c r="D13" s="33">
        <v>1503.0114678899083</v>
      </c>
      <c r="E13" s="24">
        <v>3</v>
      </c>
      <c r="F13" s="24">
        <v>18</v>
      </c>
      <c r="G13" s="24">
        <v>103</v>
      </c>
      <c r="H13" s="24">
        <v>121</v>
      </c>
      <c r="I13" s="24">
        <v>103</v>
      </c>
      <c r="J13" s="24">
        <v>44</v>
      </c>
      <c r="K13" s="24">
        <v>17</v>
      </c>
      <c r="L13" s="24">
        <v>5</v>
      </c>
      <c r="M13" s="24">
        <v>5</v>
      </c>
      <c r="N13" s="24">
        <v>1</v>
      </c>
      <c r="O13" s="24"/>
      <c r="P13" s="24">
        <v>4</v>
      </c>
      <c r="Q13" s="24"/>
      <c r="R13" s="24">
        <v>12</v>
      </c>
      <c r="S13" s="24"/>
    </row>
    <row r="14" spans="1:19" s="1" customFormat="1" ht="14.1" customHeight="1" x14ac:dyDescent="0.2">
      <c r="A14" s="1">
        <v>243400520</v>
      </c>
      <c r="B14" s="7" t="s">
        <v>184</v>
      </c>
      <c r="C14" s="4">
        <v>1429</v>
      </c>
      <c r="D14" s="6">
        <v>1580.3547935619315</v>
      </c>
      <c r="E14" s="4">
        <v>13</v>
      </c>
      <c r="F14" s="4">
        <v>65</v>
      </c>
      <c r="G14" s="4">
        <v>292</v>
      </c>
      <c r="H14" s="4">
        <v>384</v>
      </c>
      <c r="I14" s="4">
        <v>265</v>
      </c>
      <c r="J14" s="4">
        <v>165</v>
      </c>
      <c r="K14" s="4">
        <v>122</v>
      </c>
      <c r="L14" s="4">
        <v>42</v>
      </c>
      <c r="M14" s="4">
        <v>19</v>
      </c>
      <c r="N14" s="4">
        <v>7</v>
      </c>
      <c r="O14" s="4">
        <v>5</v>
      </c>
      <c r="P14" s="4">
        <v>11</v>
      </c>
      <c r="Q14" s="4">
        <v>2</v>
      </c>
      <c r="R14" s="4">
        <v>37</v>
      </c>
      <c r="S14" s="4"/>
    </row>
    <row r="15" spans="1:19" s="1" customFormat="1" ht="14.1" customHeight="1" x14ac:dyDescent="0.2">
      <c r="A15" s="1">
        <v>243400694</v>
      </c>
      <c r="B15" s="17" t="s">
        <v>182</v>
      </c>
      <c r="C15" s="25">
        <v>525</v>
      </c>
      <c r="D15" s="34">
        <v>1459.5009523809524</v>
      </c>
      <c r="E15" s="25">
        <v>13</v>
      </c>
      <c r="F15" s="25">
        <v>36</v>
      </c>
      <c r="G15" s="25">
        <v>115</v>
      </c>
      <c r="H15" s="25">
        <v>149</v>
      </c>
      <c r="I15" s="25">
        <v>93</v>
      </c>
      <c r="J15" s="25">
        <v>52</v>
      </c>
      <c r="K15" s="25">
        <v>35</v>
      </c>
      <c r="L15" s="25">
        <v>13</v>
      </c>
      <c r="M15" s="25">
        <v>2</v>
      </c>
      <c r="N15" s="25">
        <v>3</v>
      </c>
      <c r="O15" s="25">
        <v>1</v>
      </c>
      <c r="P15" s="25">
        <v>4</v>
      </c>
      <c r="Q15" s="25"/>
      <c r="R15" s="25">
        <v>9</v>
      </c>
      <c r="S15" s="25"/>
    </row>
    <row r="16" spans="1:19" s="1" customFormat="1" ht="18.2" customHeight="1" x14ac:dyDescent="0.2">
      <c r="A16" s="1">
        <v>243400736</v>
      </c>
      <c r="B16" s="7" t="s">
        <v>183</v>
      </c>
      <c r="C16" s="26">
        <v>160</v>
      </c>
      <c r="D16" s="32">
        <v>1215.26875</v>
      </c>
      <c r="E16" s="26">
        <v>1</v>
      </c>
      <c r="F16" s="25">
        <v>10</v>
      </c>
      <c r="G16" s="25">
        <v>57</v>
      </c>
      <c r="H16" s="25">
        <v>43</v>
      </c>
      <c r="I16" s="25">
        <v>26</v>
      </c>
      <c r="J16" s="25">
        <v>10</v>
      </c>
      <c r="K16" s="25">
        <v>9</v>
      </c>
      <c r="L16" s="25"/>
      <c r="M16" s="25"/>
      <c r="N16" s="25"/>
      <c r="O16" s="25"/>
      <c r="P16" s="25"/>
      <c r="Q16" s="25"/>
      <c r="R16" s="25">
        <v>4</v>
      </c>
      <c r="S16" s="25"/>
    </row>
    <row r="17" spans="1:19" s="1" customFormat="1" ht="22.7" customHeight="1" x14ac:dyDescent="0.2">
      <c r="A17" s="36" t="s">
        <v>181</v>
      </c>
      <c r="B17" s="22" t="s">
        <v>180</v>
      </c>
      <c r="C17" s="4">
        <v>4537</v>
      </c>
      <c r="D17" s="6">
        <v>1395.2735287635001</v>
      </c>
      <c r="E17" s="4">
        <v>27</v>
      </c>
      <c r="F17" s="4">
        <v>291</v>
      </c>
      <c r="G17" s="4">
        <v>1226</v>
      </c>
      <c r="H17" s="4">
        <v>1284</v>
      </c>
      <c r="I17" s="4">
        <v>832</v>
      </c>
      <c r="J17" s="4">
        <v>399</v>
      </c>
      <c r="K17" s="4">
        <v>230</v>
      </c>
      <c r="L17" s="4">
        <v>97</v>
      </c>
      <c r="M17" s="4">
        <v>25</v>
      </c>
      <c r="N17" s="4">
        <v>18</v>
      </c>
      <c r="O17" s="4">
        <v>4</v>
      </c>
      <c r="P17" s="4">
        <v>20</v>
      </c>
      <c r="Q17" s="4">
        <v>1</v>
      </c>
      <c r="R17" s="4">
        <v>83</v>
      </c>
      <c r="S17" s="4"/>
    </row>
    <row r="18" spans="1:19" s="1" customFormat="1" ht="14.1" customHeight="1" x14ac:dyDescent="0.2">
      <c r="A18" s="35" t="s">
        <v>179</v>
      </c>
      <c r="B18" s="16" t="s">
        <v>178</v>
      </c>
      <c r="C18" s="23">
        <v>2006</v>
      </c>
      <c r="D18" s="31">
        <v>1388.4212362911267</v>
      </c>
      <c r="E18" s="23">
        <v>31</v>
      </c>
      <c r="F18" s="23">
        <v>121</v>
      </c>
      <c r="G18" s="23">
        <v>558</v>
      </c>
      <c r="H18" s="23">
        <v>540</v>
      </c>
      <c r="I18" s="23">
        <v>338</v>
      </c>
      <c r="J18" s="23">
        <v>192</v>
      </c>
      <c r="K18" s="23">
        <v>116</v>
      </c>
      <c r="L18" s="23">
        <v>33</v>
      </c>
      <c r="M18" s="23">
        <v>12</v>
      </c>
      <c r="N18" s="23">
        <v>9</v>
      </c>
      <c r="O18" s="23">
        <v>2</v>
      </c>
      <c r="P18" s="23">
        <v>7</v>
      </c>
      <c r="Q18" s="23"/>
      <c r="R18" s="23">
        <v>47</v>
      </c>
      <c r="S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C1"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4" width="10.140625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150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27</v>
      </c>
      <c r="R1" s="2" t="s">
        <v>91</v>
      </c>
      <c r="S1" s="2" t="s">
        <v>55</v>
      </c>
    </row>
    <row r="2" spans="1:19" s="1" customFormat="1" ht="14.1" customHeight="1" x14ac:dyDescent="0.2">
      <c r="A2" s="1">
        <v>200017341</v>
      </c>
      <c r="B2" s="17" t="s">
        <v>166</v>
      </c>
      <c r="C2" s="25">
        <v>168</v>
      </c>
      <c r="D2" s="34">
        <v>1892.5040837139181</v>
      </c>
      <c r="E2" s="25">
        <v>4</v>
      </c>
      <c r="F2" s="25">
        <v>26</v>
      </c>
      <c r="G2" s="25">
        <v>84</v>
      </c>
      <c r="H2" s="25">
        <v>34</v>
      </c>
      <c r="I2" s="25">
        <v>12</v>
      </c>
      <c r="J2" s="25">
        <v>1</v>
      </c>
      <c r="K2" s="25"/>
      <c r="L2" s="25">
        <v>1</v>
      </c>
      <c r="M2" s="25"/>
      <c r="N2" s="25"/>
      <c r="O2" s="25"/>
      <c r="P2" s="25">
        <v>2</v>
      </c>
      <c r="Q2" s="25"/>
      <c r="R2" s="25"/>
      <c r="S2" s="25">
        <v>4</v>
      </c>
    </row>
    <row r="3" spans="1:19" s="1" customFormat="1" ht="18.2" customHeight="1" x14ac:dyDescent="0.2">
      <c r="A3" s="1">
        <v>200022986</v>
      </c>
      <c r="B3" s="7" t="s">
        <v>167</v>
      </c>
      <c r="C3" s="26">
        <v>603</v>
      </c>
      <c r="D3" s="32">
        <v>1190.2753156177992</v>
      </c>
      <c r="E3" s="26">
        <v>7</v>
      </c>
      <c r="F3" s="25">
        <v>30</v>
      </c>
      <c r="G3" s="25">
        <v>184</v>
      </c>
      <c r="H3" s="25">
        <v>230</v>
      </c>
      <c r="I3" s="25">
        <v>116</v>
      </c>
      <c r="J3" s="25">
        <v>20</v>
      </c>
      <c r="K3" s="25">
        <v>3</v>
      </c>
      <c r="L3" s="25">
        <v>1</v>
      </c>
      <c r="M3" s="25"/>
      <c r="N3" s="25">
        <v>1</v>
      </c>
      <c r="O3" s="25"/>
      <c r="P3" s="25">
        <v>2</v>
      </c>
      <c r="Q3" s="25"/>
      <c r="R3" s="25"/>
      <c r="S3" s="25">
        <v>9</v>
      </c>
    </row>
    <row r="4" spans="1:19" s="1" customFormat="1" ht="22.7" customHeight="1" x14ac:dyDescent="0.2">
      <c r="A4" s="13">
        <v>200042646</v>
      </c>
      <c r="B4" s="22" t="s">
        <v>168</v>
      </c>
      <c r="C4" s="4">
        <v>200</v>
      </c>
      <c r="D4" s="6">
        <v>1000.4401145497014</v>
      </c>
      <c r="E4" s="4">
        <v>7</v>
      </c>
      <c r="F4" s="4">
        <v>32</v>
      </c>
      <c r="G4" s="4">
        <v>78</v>
      </c>
      <c r="H4" s="4">
        <v>60</v>
      </c>
      <c r="I4" s="4">
        <v>9</v>
      </c>
      <c r="J4" s="4">
        <v>1</v>
      </c>
      <c r="K4" s="4">
        <v>1</v>
      </c>
      <c r="L4" s="4"/>
      <c r="M4" s="4"/>
      <c r="N4" s="4"/>
      <c r="O4" s="4"/>
      <c r="P4" s="4">
        <v>2</v>
      </c>
      <c r="Q4" s="4"/>
      <c r="R4" s="4">
        <v>1</v>
      </c>
      <c r="S4" s="4">
        <v>9</v>
      </c>
    </row>
    <row r="5" spans="1:19" s="1" customFormat="1" ht="14.1" customHeight="1" x14ac:dyDescent="0.2">
      <c r="A5" s="8">
        <v>200042653</v>
      </c>
      <c r="B5" s="16" t="s">
        <v>169</v>
      </c>
      <c r="C5" s="23">
        <v>122</v>
      </c>
      <c r="D5" s="31">
        <v>888.0070283225092</v>
      </c>
      <c r="E5" s="23">
        <v>2</v>
      </c>
      <c r="F5" s="23">
        <v>14</v>
      </c>
      <c r="G5" s="23">
        <v>63</v>
      </c>
      <c r="H5" s="23">
        <v>31</v>
      </c>
      <c r="I5" s="23">
        <v>4</v>
      </c>
      <c r="J5" s="23">
        <v>5</v>
      </c>
      <c r="K5" s="23"/>
      <c r="L5" s="23"/>
      <c r="M5" s="23"/>
      <c r="N5" s="23"/>
      <c r="O5" s="23"/>
      <c r="P5" s="23"/>
      <c r="Q5" s="23"/>
      <c r="R5" s="23"/>
      <c r="S5" s="23">
        <v>3</v>
      </c>
    </row>
    <row r="6" spans="1:19" s="1" customFormat="1" ht="14.1" customHeight="1" x14ac:dyDescent="0.2">
      <c r="A6" s="8">
        <v>200066348</v>
      </c>
      <c r="B6" s="16" t="s">
        <v>171</v>
      </c>
      <c r="C6" s="23">
        <v>57</v>
      </c>
      <c r="D6" s="31">
        <v>868.67996844918048</v>
      </c>
      <c r="E6" s="23">
        <v>1</v>
      </c>
      <c r="F6" s="23">
        <v>8</v>
      </c>
      <c r="G6" s="23">
        <v>26</v>
      </c>
      <c r="H6" s="23">
        <v>13</v>
      </c>
      <c r="I6" s="23">
        <v>3</v>
      </c>
      <c r="J6" s="23">
        <v>3</v>
      </c>
      <c r="K6" s="23"/>
      <c r="L6" s="23"/>
      <c r="M6" s="23"/>
      <c r="N6" s="23"/>
      <c r="O6" s="23"/>
      <c r="P6" s="23"/>
      <c r="Q6" s="23"/>
      <c r="R6" s="23"/>
      <c r="S6" s="23">
        <v>3</v>
      </c>
    </row>
    <row r="7" spans="1:19" s="1" customFormat="1" ht="14.1" customHeight="1" x14ac:dyDescent="0.2">
      <c r="A7" s="8">
        <v>200066355</v>
      </c>
      <c r="B7" s="16" t="s">
        <v>170</v>
      </c>
      <c r="C7" s="23">
        <v>4708</v>
      </c>
      <c r="D7" s="31">
        <v>1096.901054545169</v>
      </c>
      <c r="E7" s="23">
        <v>41</v>
      </c>
      <c r="F7" s="23">
        <v>486</v>
      </c>
      <c r="G7" s="23">
        <v>1857</v>
      </c>
      <c r="H7" s="23">
        <v>1513</v>
      </c>
      <c r="I7" s="23">
        <v>540</v>
      </c>
      <c r="J7" s="23">
        <v>105</v>
      </c>
      <c r="K7" s="23">
        <v>17</v>
      </c>
      <c r="L7" s="23">
        <v>4</v>
      </c>
      <c r="M7" s="23">
        <v>1</v>
      </c>
      <c r="N7" s="23"/>
      <c r="O7" s="23">
        <v>1</v>
      </c>
      <c r="P7" s="23">
        <v>33</v>
      </c>
      <c r="Q7" s="23"/>
      <c r="R7" s="23">
        <v>2</v>
      </c>
      <c r="S7" s="23">
        <v>108</v>
      </c>
    </row>
    <row r="8" spans="1:19" s="1" customFormat="1" ht="14.1" customHeight="1" x14ac:dyDescent="0.2">
      <c r="A8" s="8">
        <v>200066553</v>
      </c>
      <c r="B8" s="16" t="s">
        <v>172</v>
      </c>
      <c r="C8" s="23">
        <v>18</v>
      </c>
      <c r="D8" s="31">
        <v>969.12295651879003</v>
      </c>
      <c r="E8" s="23"/>
      <c r="F8" s="23">
        <v>2</v>
      </c>
      <c r="G8" s="23">
        <v>7</v>
      </c>
      <c r="H8" s="23">
        <v>6</v>
      </c>
      <c r="I8" s="23">
        <v>1</v>
      </c>
      <c r="J8" s="23">
        <v>1</v>
      </c>
      <c r="K8" s="23"/>
      <c r="L8" s="23"/>
      <c r="M8" s="23"/>
      <c r="N8" s="23"/>
      <c r="O8" s="23"/>
      <c r="P8" s="23"/>
      <c r="Q8" s="23"/>
      <c r="R8" s="23"/>
      <c r="S8" s="23">
        <v>1</v>
      </c>
    </row>
    <row r="9" spans="1:19" s="1" customFormat="1" ht="14.1" customHeight="1" x14ac:dyDescent="0.2">
      <c r="A9" s="8">
        <v>200071058</v>
      </c>
      <c r="B9" s="16" t="s">
        <v>173</v>
      </c>
      <c r="C9" s="23">
        <v>215</v>
      </c>
      <c r="D9" s="31">
        <v>934.90648255702706</v>
      </c>
      <c r="E9" s="23">
        <v>6</v>
      </c>
      <c r="F9" s="23">
        <v>23</v>
      </c>
      <c r="G9" s="23">
        <v>84</v>
      </c>
      <c r="H9" s="23">
        <v>76</v>
      </c>
      <c r="I9" s="23">
        <v>19</v>
      </c>
      <c r="J9" s="23">
        <v>2</v>
      </c>
      <c r="K9" s="23"/>
      <c r="L9" s="23"/>
      <c r="M9" s="23"/>
      <c r="N9" s="23"/>
      <c r="O9" s="23"/>
      <c r="P9" s="23"/>
      <c r="Q9" s="23"/>
      <c r="R9" s="23"/>
      <c r="S9" s="23">
        <v>5</v>
      </c>
    </row>
    <row r="10" spans="1:19" s="1" customFormat="1" ht="14.1" customHeight="1" x14ac:dyDescent="0.2">
      <c r="A10" s="8">
        <v>243400017</v>
      </c>
      <c r="B10" s="16" t="s">
        <v>174</v>
      </c>
      <c r="C10" s="23">
        <v>25746</v>
      </c>
      <c r="D10" s="31">
        <v>1073.5077275823635</v>
      </c>
      <c r="E10" s="23">
        <v>321</v>
      </c>
      <c r="F10" s="23">
        <v>2927</v>
      </c>
      <c r="G10" s="23">
        <v>9825</v>
      </c>
      <c r="H10" s="23">
        <v>7604</v>
      </c>
      <c r="I10" s="23">
        <v>3423</v>
      </c>
      <c r="J10" s="23">
        <v>759</v>
      </c>
      <c r="K10" s="23">
        <v>197</v>
      </c>
      <c r="L10" s="23">
        <v>55</v>
      </c>
      <c r="M10" s="23">
        <v>14</v>
      </c>
      <c r="N10" s="23">
        <v>5</v>
      </c>
      <c r="O10" s="23">
        <v>6</v>
      </c>
      <c r="P10" s="23">
        <v>96</v>
      </c>
      <c r="Q10" s="23"/>
      <c r="R10" s="23">
        <v>13</v>
      </c>
      <c r="S10" s="23">
        <v>501</v>
      </c>
    </row>
    <row r="11" spans="1:19" s="1" customFormat="1" ht="14.1" customHeight="1" x14ac:dyDescent="0.2">
      <c r="A11" s="8">
        <v>243400355</v>
      </c>
      <c r="B11" s="16" t="s">
        <v>175</v>
      </c>
      <c r="C11" s="23">
        <v>562</v>
      </c>
      <c r="D11" s="31">
        <v>1114.926550659208</v>
      </c>
      <c r="E11" s="23">
        <v>4</v>
      </c>
      <c r="F11" s="23">
        <v>66</v>
      </c>
      <c r="G11" s="23">
        <v>269</v>
      </c>
      <c r="H11" s="23">
        <v>146</v>
      </c>
      <c r="I11" s="23">
        <v>48</v>
      </c>
      <c r="J11" s="23">
        <v>5</v>
      </c>
      <c r="K11" s="23">
        <v>2</v>
      </c>
      <c r="L11" s="23">
        <v>2</v>
      </c>
      <c r="M11" s="23">
        <v>1</v>
      </c>
      <c r="N11" s="23"/>
      <c r="O11" s="23"/>
      <c r="P11" s="23">
        <v>3</v>
      </c>
      <c r="Q11" s="23"/>
      <c r="R11" s="23">
        <v>1</v>
      </c>
      <c r="S11" s="23">
        <v>15</v>
      </c>
    </row>
    <row r="12" spans="1:19" s="1" customFormat="1" ht="14.1" customHeight="1" x14ac:dyDescent="0.2">
      <c r="A12" s="10">
        <v>243400470</v>
      </c>
      <c r="B12" s="19" t="s">
        <v>176</v>
      </c>
      <c r="C12" s="24">
        <v>1482</v>
      </c>
      <c r="D12" s="33">
        <v>1201.9122183678774</v>
      </c>
      <c r="E12" s="24">
        <v>33</v>
      </c>
      <c r="F12" s="24">
        <v>114</v>
      </c>
      <c r="G12" s="24">
        <v>460</v>
      </c>
      <c r="H12" s="24">
        <v>541</v>
      </c>
      <c r="I12" s="24">
        <v>226</v>
      </c>
      <c r="J12" s="24">
        <v>52</v>
      </c>
      <c r="K12" s="24">
        <v>9</v>
      </c>
      <c r="L12" s="24">
        <v>4</v>
      </c>
      <c r="M12" s="24">
        <v>1</v>
      </c>
      <c r="N12" s="24"/>
      <c r="O12" s="24"/>
      <c r="P12" s="24">
        <v>11</v>
      </c>
      <c r="Q12" s="24"/>
      <c r="R12" s="24">
        <v>2</v>
      </c>
      <c r="S12" s="24">
        <v>29</v>
      </c>
    </row>
    <row r="13" spans="1:19" s="1" customFormat="1" ht="14.1" customHeight="1" x14ac:dyDescent="0.2">
      <c r="A13" s="10">
        <v>243400488</v>
      </c>
      <c r="B13" s="19" t="s">
        <v>177</v>
      </c>
      <c r="C13" s="24">
        <v>436</v>
      </c>
      <c r="D13" s="33">
        <v>1059.783541771011</v>
      </c>
      <c r="E13" s="24">
        <v>3</v>
      </c>
      <c r="F13" s="24">
        <v>42</v>
      </c>
      <c r="G13" s="24">
        <v>185</v>
      </c>
      <c r="H13" s="24">
        <v>137</v>
      </c>
      <c r="I13" s="24">
        <v>44</v>
      </c>
      <c r="J13" s="24">
        <v>8</v>
      </c>
      <c r="K13" s="24"/>
      <c r="L13" s="24">
        <v>1</v>
      </c>
      <c r="M13" s="24">
        <v>1</v>
      </c>
      <c r="N13" s="24"/>
      <c r="O13" s="24"/>
      <c r="P13" s="24">
        <v>3</v>
      </c>
      <c r="Q13" s="24"/>
      <c r="R13" s="24"/>
      <c r="S13" s="24">
        <v>12</v>
      </c>
    </row>
    <row r="14" spans="1:19" s="1" customFormat="1" ht="14.1" customHeight="1" x14ac:dyDescent="0.2">
      <c r="A14" s="1">
        <v>243400520</v>
      </c>
      <c r="B14" s="7" t="s">
        <v>184</v>
      </c>
      <c r="C14" s="4">
        <v>1429</v>
      </c>
      <c r="D14" s="6">
        <v>1001.1032899742795</v>
      </c>
      <c r="E14" s="4">
        <v>13</v>
      </c>
      <c r="F14" s="4">
        <v>152</v>
      </c>
      <c r="G14" s="4">
        <v>612</v>
      </c>
      <c r="H14" s="4">
        <v>437</v>
      </c>
      <c r="I14" s="4">
        <v>141</v>
      </c>
      <c r="J14" s="4">
        <v>21</v>
      </c>
      <c r="K14" s="4">
        <v>5</v>
      </c>
      <c r="L14" s="4"/>
      <c r="M14" s="4"/>
      <c r="N14" s="4">
        <v>1</v>
      </c>
      <c r="O14" s="4">
        <v>2</v>
      </c>
      <c r="P14" s="4">
        <v>6</v>
      </c>
      <c r="Q14" s="4"/>
      <c r="R14" s="4">
        <v>2</v>
      </c>
      <c r="S14" s="4">
        <v>37</v>
      </c>
    </row>
    <row r="15" spans="1:19" s="1" customFormat="1" ht="14.1" customHeight="1" x14ac:dyDescent="0.2">
      <c r="A15" s="1">
        <v>243400694</v>
      </c>
      <c r="B15" s="17" t="s">
        <v>182</v>
      </c>
      <c r="C15" s="25">
        <v>525</v>
      </c>
      <c r="D15" s="34">
        <v>978.05785104720439</v>
      </c>
      <c r="E15" s="25">
        <v>13</v>
      </c>
      <c r="F15" s="25">
        <v>61</v>
      </c>
      <c r="G15" s="25">
        <v>217</v>
      </c>
      <c r="H15" s="25">
        <v>159</v>
      </c>
      <c r="I15" s="25">
        <v>52</v>
      </c>
      <c r="J15" s="25">
        <v>9</v>
      </c>
      <c r="K15" s="25">
        <v>3</v>
      </c>
      <c r="L15" s="25"/>
      <c r="M15" s="25"/>
      <c r="N15" s="25"/>
      <c r="O15" s="25"/>
      <c r="P15" s="25">
        <v>2</v>
      </c>
      <c r="Q15" s="25"/>
      <c r="R15" s="25"/>
      <c r="S15" s="25">
        <v>9</v>
      </c>
    </row>
    <row r="16" spans="1:19" s="1" customFormat="1" ht="18.2" customHeight="1" x14ac:dyDescent="0.2">
      <c r="A16" s="1">
        <v>243400736</v>
      </c>
      <c r="B16" s="7" t="s">
        <v>183</v>
      </c>
      <c r="C16" s="26">
        <v>160</v>
      </c>
      <c r="D16" s="32">
        <v>880.29490543691611</v>
      </c>
      <c r="E16" s="26">
        <v>1</v>
      </c>
      <c r="F16" s="25">
        <v>22</v>
      </c>
      <c r="G16" s="25">
        <v>83</v>
      </c>
      <c r="H16" s="25">
        <v>37</v>
      </c>
      <c r="I16" s="25">
        <v>10</v>
      </c>
      <c r="J16" s="25">
        <v>1</v>
      </c>
      <c r="K16" s="25">
        <v>2</v>
      </c>
      <c r="L16" s="25"/>
      <c r="M16" s="25"/>
      <c r="N16" s="25"/>
      <c r="O16" s="25"/>
      <c r="P16" s="25"/>
      <c r="Q16" s="25"/>
      <c r="R16" s="25"/>
      <c r="S16" s="25">
        <v>4</v>
      </c>
    </row>
    <row r="17" spans="1:19" s="1" customFormat="1" ht="22.7" customHeight="1" x14ac:dyDescent="0.2">
      <c r="A17" s="36" t="s">
        <v>181</v>
      </c>
      <c r="B17" s="22" t="s">
        <v>180</v>
      </c>
      <c r="C17" s="4">
        <v>4537</v>
      </c>
      <c r="D17" s="6">
        <v>911.49169117717815</v>
      </c>
      <c r="E17" s="4">
        <v>27</v>
      </c>
      <c r="F17" s="4">
        <v>675</v>
      </c>
      <c r="G17" s="4">
        <v>2190</v>
      </c>
      <c r="H17" s="4">
        <v>1137</v>
      </c>
      <c r="I17" s="4">
        <v>351</v>
      </c>
      <c r="J17" s="4">
        <v>54</v>
      </c>
      <c r="K17" s="4">
        <v>5</v>
      </c>
      <c r="L17" s="4">
        <v>2</v>
      </c>
      <c r="M17" s="4">
        <v>1</v>
      </c>
      <c r="N17" s="4">
        <v>1</v>
      </c>
      <c r="O17" s="4"/>
      <c r="P17" s="4">
        <v>10</v>
      </c>
      <c r="Q17" s="4"/>
      <c r="R17" s="4">
        <v>1</v>
      </c>
      <c r="S17" s="4">
        <v>83</v>
      </c>
    </row>
    <row r="18" spans="1:19" s="1" customFormat="1" ht="14.1" customHeight="1" x14ac:dyDescent="0.2">
      <c r="A18" s="35" t="s">
        <v>179</v>
      </c>
      <c r="B18" s="16" t="s">
        <v>178</v>
      </c>
      <c r="C18" s="23">
        <v>2006</v>
      </c>
      <c r="D18" s="31">
        <v>944.16970283798798</v>
      </c>
      <c r="E18" s="23">
        <v>31</v>
      </c>
      <c r="F18" s="23">
        <v>236</v>
      </c>
      <c r="G18" s="23">
        <v>918</v>
      </c>
      <c r="H18" s="23">
        <v>568</v>
      </c>
      <c r="I18" s="23">
        <v>160</v>
      </c>
      <c r="J18" s="23">
        <v>33</v>
      </c>
      <c r="K18" s="23">
        <v>6</v>
      </c>
      <c r="L18" s="23">
        <v>2</v>
      </c>
      <c r="M18" s="23"/>
      <c r="N18" s="23">
        <v>2</v>
      </c>
      <c r="O18" s="23"/>
      <c r="P18" s="23">
        <v>3</v>
      </c>
      <c r="Q18" s="23"/>
      <c r="R18" s="23"/>
      <c r="S18" s="23">
        <v>47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workbookViewId="0">
      <selection activeCell="B19" sqref="B19:Q19"/>
    </sheetView>
  </sheetViews>
  <sheetFormatPr baseColWidth="10" defaultColWidth="9.140625" defaultRowHeight="15.95" customHeight="1" x14ac:dyDescent="0.2"/>
  <cols>
    <col min="1" max="1" width="10.140625" customWidth="1"/>
    <col min="2" max="2" width="26.140625" customWidth="1"/>
    <col min="3" max="3" width="10.140625" customWidth="1"/>
    <col min="4" max="21" width="20.85546875" customWidth="1"/>
  </cols>
  <sheetData>
    <row r="1" spans="1:21" s="1" customFormat="1" ht="15.95" customHeight="1" x14ac:dyDescent="0.2">
      <c r="A1" s="2" t="s">
        <v>0</v>
      </c>
      <c r="B1" s="3" t="s">
        <v>1</v>
      </c>
      <c r="C1" s="2" t="s">
        <v>2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  <c r="J1" s="2" t="s">
        <v>62</v>
      </c>
      <c r="K1" s="2" t="s">
        <v>63</v>
      </c>
      <c r="L1" s="2" t="s">
        <v>64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11</v>
      </c>
      <c r="R1" s="2" t="s">
        <v>31</v>
      </c>
      <c r="S1" s="2" t="s">
        <v>69</v>
      </c>
      <c r="T1" s="2" t="s">
        <v>70</v>
      </c>
      <c r="U1" s="2" t="s">
        <v>27</v>
      </c>
    </row>
    <row r="2" spans="1:21" s="1" customFormat="1" ht="15.95" customHeight="1" x14ac:dyDescent="0.2">
      <c r="A2" s="1">
        <v>200017341</v>
      </c>
      <c r="B2" s="17" t="s">
        <v>166</v>
      </c>
      <c r="C2" s="25">
        <v>168</v>
      </c>
      <c r="D2" s="25">
        <v>5</v>
      </c>
      <c r="E2" s="25">
        <v>3</v>
      </c>
      <c r="F2" s="25"/>
      <c r="G2" s="25">
        <v>7</v>
      </c>
      <c r="H2" s="25"/>
      <c r="I2" s="25">
        <v>35</v>
      </c>
      <c r="J2" s="25">
        <v>23</v>
      </c>
      <c r="K2" s="25">
        <v>9</v>
      </c>
      <c r="L2" s="25">
        <v>17</v>
      </c>
      <c r="M2" s="25"/>
      <c r="N2" s="25">
        <v>40</v>
      </c>
      <c r="O2" s="25"/>
      <c r="P2" s="25"/>
      <c r="Q2" s="25"/>
      <c r="R2" s="25"/>
      <c r="S2" s="25">
        <v>16</v>
      </c>
      <c r="T2" s="25">
        <v>13</v>
      </c>
      <c r="U2" s="25"/>
    </row>
    <row r="3" spans="1:21" s="1" customFormat="1" ht="15.95" customHeight="1" x14ac:dyDescent="0.2">
      <c r="A3" s="1">
        <v>200022986</v>
      </c>
      <c r="B3" s="7" t="s">
        <v>167</v>
      </c>
      <c r="C3" s="26">
        <v>603</v>
      </c>
      <c r="D3" s="26">
        <v>27</v>
      </c>
      <c r="E3" s="26">
        <v>24</v>
      </c>
      <c r="F3" s="25">
        <v>5</v>
      </c>
      <c r="G3" s="25">
        <v>18</v>
      </c>
      <c r="H3" s="25">
        <v>1</v>
      </c>
      <c r="I3" s="25">
        <v>41</v>
      </c>
      <c r="J3" s="25">
        <v>87</v>
      </c>
      <c r="K3" s="25">
        <v>34</v>
      </c>
      <c r="L3" s="25">
        <v>143</v>
      </c>
      <c r="M3" s="25"/>
      <c r="N3" s="25">
        <v>75</v>
      </c>
      <c r="O3" s="25">
        <v>4</v>
      </c>
      <c r="P3" s="25">
        <v>4</v>
      </c>
      <c r="Q3" s="25"/>
      <c r="R3" s="25"/>
      <c r="S3" s="25">
        <v>39</v>
      </c>
      <c r="T3" s="25">
        <v>101</v>
      </c>
      <c r="U3" s="25"/>
    </row>
    <row r="4" spans="1:21" s="1" customFormat="1" ht="15.95" customHeight="1" x14ac:dyDescent="0.2">
      <c r="A4" s="13">
        <v>200042646</v>
      </c>
      <c r="B4" s="22" t="s">
        <v>168</v>
      </c>
      <c r="C4" s="4">
        <v>200</v>
      </c>
      <c r="D4" s="4"/>
      <c r="E4" s="4">
        <v>4</v>
      </c>
      <c r="F4" s="4">
        <v>1</v>
      </c>
      <c r="G4" s="4">
        <v>2</v>
      </c>
      <c r="H4" s="4"/>
      <c r="I4" s="4">
        <v>34</v>
      </c>
      <c r="J4" s="4">
        <v>30</v>
      </c>
      <c r="K4" s="4">
        <v>8</v>
      </c>
      <c r="L4" s="4">
        <v>30</v>
      </c>
      <c r="M4" s="4"/>
      <c r="N4" s="4">
        <v>55</v>
      </c>
      <c r="O4" s="4">
        <v>1</v>
      </c>
      <c r="P4" s="4"/>
      <c r="Q4" s="4"/>
      <c r="R4" s="4"/>
      <c r="S4" s="4">
        <v>31</v>
      </c>
      <c r="T4" s="4">
        <v>4</v>
      </c>
      <c r="U4" s="4"/>
    </row>
    <row r="5" spans="1:21" s="1" customFormat="1" ht="15.95" customHeight="1" x14ac:dyDescent="0.2">
      <c r="A5" s="8">
        <v>200042653</v>
      </c>
      <c r="B5" s="16" t="s">
        <v>169</v>
      </c>
      <c r="C5" s="23">
        <v>122</v>
      </c>
      <c r="D5" s="23">
        <v>4</v>
      </c>
      <c r="E5" s="23">
        <v>2</v>
      </c>
      <c r="F5" s="23"/>
      <c r="G5" s="23">
        <v>2</v>
      </c>
      <c r="H5" s="23"/>
      <c r="I5" s="23">
        <v>15</v>
      </c>
      <c r="J5" s="23">
        <v>31</v>
      </c>
      <c r="K5" s="23">
        <v>8</v>
      </c>
      <c r="L5" s="23">
        <v>5</v>
      </c>
      <c r="M5" s="23"/>
      <c r="N5" s="23">
        <v>28</v>
      </c>
      <c r="O5" s="23"/>
      <c r="P5" s="23">
        <v>1</v>
      </c>
      <c r="Q5" s="23"/>
      <c r="R5" s="23"/>
      <c r="S5" s="23">
        <v>11</v>
      </c>
      <c r="T5" s="23">
        <v>15</v>
      </c>
      <c r="U5" s="23"/>
    </row>
    <row r="6" spans="1:21" s="1" customFormat="1" ht="15.95" customHeight="1" x14ac:dyDescent="0.2">
      <c r="A6" s="8">
        <v>200066348</v>
      </c>
      <c r="B6" s="16" t="s">
        <v>171</v>
      </c>
      <c r="C6" s="23">
        <v>57</v>
      </c>
      <c r="D6" s="23"/>
      <c r="E6" s="23"/>
      <c r="F6" s="23">
        <v>1</v>
      </c>
      <c r="G6" s="23">
        <v>1</v>
      </c>
      <c r="H6" s="23"/>
      <c r="I6" s="23">
        <v>14</v>
      </c>
      <c r="J6" s="23">
        <v>7</v>
      </c>
      <c r="K6" s="23">
        <v>2</v>
      </c>
      <c r="L6" s="23">
        <v>10</v>
      </c>
      <c r="M6" s="23"/>
      <c r="N6" s="23">
        <v>12</v>
      </c>
      <c r="O6" s="23"/>
      <c r="P6" s="23"/>
      <c r="Q6" s="23"/>
      <c r="R6" s="23"/>
      <c r="S6" s="23">
        <v>5</v>
      </c>
      <c r="T6" s="23">
        <v>5</v>
      </c>
      <c r="U6" s="23"/>
    </row>
    <row r="7" spans="1:21" s="1" customFormat="1" ht="15.95" customHeight="1" x14ac:dyDescent="0.2">
      <c r="A7" s="8">
        <v>200066355</v>
      </c>
      <c r="B7" s="16" t="s">
        <v>170</v>
      </c>
      <c r="C7" s="23">
        <v>4708</v>
      </c>
      <c r="D7" s="23">
        <v>82</v>
      </c>
      <c r="E7" s="23">
        <v>71</v>
      </c>
      <c r="F7" s="23">
        <v>18</v>
      </c>
      <c r="G7" s="23">
        <v>65</v>
      </c>
      <c r="H7" s="23">
        <v>5</v>
      </c>
      <c r="I7" s="23">
        <v>649</v>
      </c>
      <c r="J7" s="23">
        <v>914</v>
      </c>
      <c r="K7" s="23">
        <v>226</v>
      </c>
      <c r="L7" s="23">
        <v>638</v>
      </c>
      <c r="M7" s="23"/>
      <c r="N7" s="23">
        <v>822</v>
      </c>
      <c r="O7" s="23">
        <v>17</v>
      </c>
      <c r="P7" s="23">
        <v>14</v>
      </c>
      <c r="Q7" s="23"/>
      <c r="R7" s="23"/>
      <c r="S7" s="23">
        <v>523</v>
      </c>
      <c r="T7" s="23">
        <v>664</v>
      </c>
      <c r="U7" s="23"/>
    </row>
    <row r="8" spans="1:21" s="1" customFormat="1" ht="15.95" customHeight="1" x14ac:dyDescent="0.2">
      <c r="A8" s="8">
        <v>200066553</v>
      </c>
      <c r="B8" s="16" t="s">
        <v>172</v>
      </c>
      <c r="C8" s="23">
        <v>18</v>
      </c>
      <c r="D8" s="23"/>
      <c r="E8" s="23">
        <v>1</v>
      </c>
      <c r="F8" s="23"/>
      <c r="G8" s="23"/>
      <c r="H8" s="23"/>
      <c r="I8" s="23">
        <v>4</v>
      </c>
      <c r="J8" s="23"/>
      <c r="K8" s="23">
        <v>2</v>
      </c>
      <c r="L8" s="23">
        <v>5</v>
      </c>
      <c r="M8" s="23"/>
      <c r="N8" s="23">
        <v>3</v>
      </c>
      <c r="O8" s="23"/>
      <c r="P8" s="23"/>
      <c r="Q8" s="23"/>
      <c r="R8" s="23"/>
      <c r="S8" s="23">
        <v>3</v>
      </c>
      <c r="T8" s="23"/>
      <c r="U8" s="23"/>
    </row>
    <row r="9" spans="1:21" s="1" customFormat="1" ht="15.95" customHeight="1" x14ac:dyDescent="0.2">
      <c r="A9" s="8">
        <v>200071058</v>
      </c>
      <c r="B9" s="16" t="s">
        <v>173</v>
      </c>
      <c r="C9" s="23">
        <v>215</v>
      </c>
      <c r="D9" s="23">
        <v>3</v>
      </c>
      <c r="E9" s="23">
        <v>1</v>
      </c>
      <c r="F9" s="23"/>
      <c r="G9" s="23">
        <v>1</v>
      </c>
      <c r="H9" s="23"/>
      <c r="I9" s="23">
        <v>31</v>
      </c>
      <c r="J9" s="23">
        <v>40</v>
      </c>
      <c r="K9" s="23">
        <v>16</v>
      </c>
      <c r="L9" s="23">
        <v>31</v>
      </c>
      <c r="M9" s="23"/>
      <c r="N9" s="23">
        <v>43</v>
      </c>
      <c r="O9" s="23">
        <v>2</v>
      </c>
      <c r="P9" s="23">
        <v>2</v>
      </c>
      <c r="Q9" s="23"/>
      <c r="R9" s="23"/>
      <c r="S9" s="23">
        <v>22</v>
      </c>
      <c r="T9" s="23">
        <v>23</v>
      </c>
      <c r="U9" s="23"/>
    </row>
    <row r="10" spans="1:21" s="1" customFormat="1" ht="15.95" customHeight="1" x14ac:dyDescent="0.2">
      <c r="A10" s="8">
        <v>243400017</v>
      </c>
      <c r="B10" s="16" t="s">
        <v>174</v>
      </c>
      <c r="C10" s="23">
        <v>25746</v>
      </c>
      <c r="D10" s="23">
        <v>663</v>
      </c>
      <c r="E10" s="23">
        <v>350</v>
      </c>
      <c r="F10" s="23">
        <v>134</v>
      </c>
      <c r="G10" s="23">
        <v>459</v>
      </c>
      <c r="H10" s="23">
        <v>21</v>
      </c>
      <c r="I10" s="23">
        <v>3178</v>
      </c>
      <c r="J10" s="23">
        <v>4420</v>
      </c>
      <c r="K10" s="23">
        <v>1544</v>
      </c>
      <c r="L10" s="23">
        <v>3874</v>
      </c>
      <c r="M10" s="23"/>
      <c r="N10" s="23">
        <v>4218</v>
      </c>
      <c r="O10" s="23">
        <v>318</v>
      </c>
      <c r="P10" s="23">
        <v>249</v>
      </c>
      <c r="Q10" s="23"/>
      <c r="R10" s="23"/>
      <c r="S10" s="23">
        <v>1414</v>
      </c>
      <c r="T10" s="23">
        <v>4904</v>
      </c>
      <c r="U10" s="23"/>
    </row>
    <row r="11" spans="1:21" s="1" customFormat="1" ht="15.95" customHeight="1" x14ac:dyDescent="0.2">
      <c r="A11" s="8">
        <v>243400355</v>
      </c>
      <c r="B11" s="16" t="s">
        <v>175</v>
      </c>
      <c r="C11" s="23">
        <v>562</v>
      </c>
      <c r="D11" s="23">
        <v>13</v>
      </c>
      <c r="E11" s="23">
        <v>12</v>
      </c>
      <c r="F11" s="23">
        <v>2</v>
      </c>
      <c r="G11" s="23">
        <v>8</v>
      </c>
      <c r="H11" s="23"/>
      <c r="I11" s="23">
        <v>82</v>
      </c>
      <c r="J11" s="23">
        <v>96</v>
      </c>
      <c r="K11" s="23">
        <v>28</v>
      </c>
      <c r="L11" s="23">
        <v>69</v>
      </c>
      <c r="M11" s="23"/>
      <c r="N11" s="23">
        <v>135</v>
      </c>
      <c r="O11" s="23">
        <v>2</v>
      </c>
      <c r="P11" s="23">
        <v>2</v>
      </c>
      <c r="Q11" s="23"/>
      <c r="R11" s="23"/>
      <c r="S11" s="23">
        <v>54</v>
      </c>
      <c r="T11" s="23">
        <v>59</v>
      </c>
      <c r="U11" s="23"/>
    </row>
    <row r="12" spans="1:21" s="1" customFormat="1" ht="15.95" customHeight="1" x14ac:dyDescent="0.2">
      <c r="A12" s="10">
        <v>243400470</v>
      </c>
      <c r="B12" s="19" t="s">
        <v>176</v>
      </c>
      <c r="C12" s="24">
        <v>1482</v>
      </c>
      <c r="D12" s="24">
        <v>55</v>
      </c>
      <c r="E12" s="24">
        <v>29</v>
      </c>
      <c r="F12" s="24">
        <v>7</v>
      </c>
      <c r="G12" s="24">
        <v>21</v>
      </c>
      <c r="H12" s="24">
        <v>2</v>
      </c>
      <c r="I12" s="24">
        <v>114</v>
      </c>
      <c r="J12" s="24">
        <v>255</v>
      </c>
      <c r="K12" s="24">
        <v>74</v>
      </c>
      <c r="L12" s="24">
        <v>239</v>
      </c>
      <c r="M12" s="24"/>
      <c r="N12" s="24">
        <v>236</v>
      </c>
      <c r="O12" s="24">
        <v>39</v>
      </c>
      <c r="P12" s="24">
        <v>2</v>
      </c>
      <c r="Q12" s="24"/>
      <c r="R12" s="24"/>
      <c r="S12" s="24">
        <v>143</v>
      </c>
      <c r="T12" s="24">
        <v>266</v>
      </c>
      <c r="U12" s="24"/>
    </row>
    <row r="13" spans="1:21" s="1" customFormat="1" ht="15.95" customHeight="1" x14ac:dyDescent="0.2">
      <c r="A13" s="10">
        <v>243400488</v>
      </c>
      <c r="B13" s="19" t="s">
        <v>177</v>
      </c>
      <c r="C13" s="24">
        <v>436</v>
      </c>
      <c r="D13" s="24">
        <v>5</v>
      </c>
      <c r="E13" s="24">
        <v>6</v>
      </c>
      <c r="F13" s="24">
        <v>4</v>
      </c>
      <c r="G13" s="24">
        <v>7</v>
      </c>
      <c r="H13" s="24"/>
      <c r="I13" s="24">
        <v>53</v>
      </c>
      <c r="J13" s="24">
        <v>79</v>
      </c>
      <c r="K13" s="24">
        <v>33</v>
      </c>
      <c r="L13" s="24">
        <v>73</v>
      </c>
      <c r="M13" s="24"/>
      <c r="N13" s="24">
        <v>93</v>
      </c>
      <c r="O13" s="24">
        <v>2</v>
      </c>
      <c r="P13" s="24">
        <v>2</v>
      </c>
      <c r="Q13" s="24"/>
      <c r="R13" s="24"/>
      <c r="S13" s="24">
        <v>27</v>
      </c>
      <c r="T13" s="24">
        <v>52</v>
      </c>
      <c r="U13" s="24"/>
    </row>
    <row r="14" spans="1:21" s="1" customFormat="1" ht="15.95" customHeight="1" x14ac:dyDescent="0.2">
      <c r="A14" s="1">
        <v>243400520</v>
      </c>
      <c r="B14" s="7" t="s">
        <v>184</v>
      </c>
      <c r="C14" s="4">
        <v>1429</v>
      </c>
      <c r="D14" s="4">
        <v>20</v>
      </c>
      <c r="E14" s="4">
        <v>14</v>
      </c>
      <c r="F14" s="4">
        <v>4</v>
      </c>
      <c r="G14" s="4">
        <v>21</v>
      </c>
      <c r="H14" s="4"/>
      <c r="I14" s="4">
        <v>186</v>
      </c>
      <c r="J14" s="4">
        <v>282</v>
      </c>
      <c r="K14" s="4">
        <v>110</v>
      </c>
      <c r="L14" s="4">
        <v>220</v>
      </c>
      <c r="M14" s="4"/>
      <c r="N14" s="4">
        <v>222</v>
      </c>
      <c r="O14" s="4">
        <v>2</v>
      </c>
      <c r="P14" s="4">
        <v>4</v>
      </c>
      <c r="Q14" s="4"/>
      <c r="R14" s="4"/>
      <c r="S14" s="4">
        <v>124</v>
      </c>
      <c r="T14" s="4">
        <v>220</v>
      </c>
      <c r="U14" s="4"/>
    </row>
    <row r="15" spans="1:21" s="1" customFormat="1" ht="15.95" customHeight="1" x14ac:dyDescent="0.2">
      <c r="A15" s="1">
        <v>243400694</v>
      </c>
      <c r="B15" s="17" t="s">
        <v>182</v>
      </c>
      <c r="C15" s="25">
        <v>525</v>
      </c>
      <c r="D15" s="25">
        <v>7</v>
      </c>
      <c r="E15" s="25">
        <v>10</v>
      </c>
      <c r="F15" s="25">
        <v>1</v>
      </c>
      <c r="G15" s="25">
        <v>14</v>
      </c>
      <c r="H15" s="25">
        <v>1</v>
      </c>
      <c r="I15" s="25">
        <v>65</v>
      </c>
      <c r="J15" s="25">
        <v>65</v>
      </c>
      <c r="K15" s="25">
        <v>35</v>
      </c>
      <c r="L15" s="25">
        <v>94</v>
      </c>
      <c r="M15" s="25"/>
      <c r="N15" s="25">
        <v>113</v>
      </c>
      <c r="O15" s="25">
        <v>4</v>
      </c>
      <c r="P15" s="25">
        <v>2</v>
      </c>
      <c r="Q15" s="25"/>
      <c r="R15" s="25"/>
      <c r="S15" s="25">
        <v>43</v>
      </c>
      <c r="T15" s="25">
        <v>71</v>
      </c>
      <c r="U15" s="25"/>
    </row>
    <row r="16" spans="1:21" s="1" customFormat="1" ht="15.95" customHeight="1" x14ac:dyDescent="0.2">
      <c r="A16" s="1">
        <v>243400736</v>
      </c>
      <c r="B16" s="7" t="s">
        <v>183</v>
      </c>
      <c r="C16" s="26">
        <v>160</v>
      </c>
      <c r="D16" s="26">
        <v>2</v>
      </c>
      <c r="E16" s="26">
        <v>2</v>
      </c>
      <c r="F16" s="25"/>
      <c r="G16" s="25">
        <v>3</v>
      </c>
      <c r="H16" s="25"/>
      <c r="I16" s="25">
        <v>26</v>
      </c>
      <c r="J16" s="25">
        <v>21</v>
      </c>
      <c r="K16" s="25">
        <v>11</v>
      </c>
      <c r="L16" s="25">
        <v>7</v>
      </c>
      <c r="M16" s="25"/>
      <c r="N16" s="25">
        <v>48</v>
      </c>
      <c r="O16" s="25"/>
      <c r="P16" s="25">
        <v>1</v>
      </c>
      <c r="Q16" s="25"/>
      <c r="R16" s="25"/>
      <c r="S16" s="25">
        <v>26</v>
      </c>
      <c r="T16" s="25">
        <v>13</v>
      </c>
      <c r="U16" s="25"/>
    </row>
    <row r="17" spans="1:21" s="1" customFormat="1" ht="15.95" customHeight="1" x14ac:dyDescent="0.2">
      <c r="A17" s="36" t="s">
        <v>181</v>
      </c>
      <c r="B17" s="22" t="s">
        <v>180</v>
      </c>
      <c r="C17" s="4">
        <v>4537</v>
      </c>
      <c r="D17" s="4">
        <v>49</v>
      </c>
      <c r="E17" s="4">
        <v>51</v>
      </c>
      <c r="F17" s="4">
        <v>13</v>
      </c>
      <c r="G17" s="4">
        <v>66</v>
      </c>
      <c r="H17" s="4">
        <v>2</v>
      </c>
      <c r="I17" s="4">
        <v>975</v>
      </c>
      <c r="J17" s="4">
        <v>922</v>
      </c>
      <c r="K17" s="4">
        <v>218</v>
      </c>
      <c r="L17" s="4">
        <v>441</v>
      </c>
      <c r="M17" s="4"/>
      <c r="N17" s="4">
        <v>766</v>
      </c>
      <c r="O17" s="4">
        <v>13</v>
      </c>
      <c r="P17" s="4">
        <v>15</v>
      </c>
      <c r="Q17" s="4"/>
      <c r="R17" s="4"/>
      <c r="S17" s="4">
        <v>473</v>
      </c>
      <c r="T17" s="4">
        <v>533</v>
      </c>
      <c r="U17" s="4"/>
    </row>
    <row r="18" spans="1:21" s="1" customFormat="1" ht="15.95" customHeight="1" x14ac:dyDescent="0.2">
      <c r="A18" s="35" t="s">
        <v>179</v>
      </c>
      <c r="B18" s="16" t="s">
        <v>178</v>
      </c>
      <c r="C18" s="23">
        <v>2006</v>
      </c>
      <c r="D18" s="23">
        <v>22</v>
      </c>
      <c r="E18" s="23">
        <v>25</v>
      </c>
      <c r="F18" s="23">
        <v>5</v>
      </c>
      <c r="G18" s="23">
        <v>31</v>
      </c>
      <c r="H18" s="23"/>
      <c r="I18" s="23">
        <v>335</v>
      </c>
      <c r="J18" s="23">
        <v>424</v>
      </c>
      <c r="K18" s="23">
        <v>119</v>
      </c>
      <c r="L18" s="23">
        <v>227</v>
      </c>
      <c r="M18" s="23"/>
      <c r="N18" s="23">
        <v>401</v>
      </c>
      <c r="O18" s="23">
        <v>3</v>
      </c>
      <c r="P18" s="23">
        <v>3</v>
      </c>
      <c r="Q18" s="23"/>
      <c r="R18" s="23"/>
      <c r="S18" s="23">
        <v>188</v>
      </c>
      <c r="T18" s="23">
        <v>223</v>
      </c>
      <c r="U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="85" zoomScaleNormal="85"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4" width="10.140625" customWidth="1"/>
    <col min="5" max="12" width="15.42578125" customWidth="1"/>
  </cols>
  <sheetData>
    <row r="1" spans="1:12" s="1" customFormat="1" ht="30.6" customHeight="1" x14ac:dyDescent="0.2">
      <c r="A1" s="11" t="s">
        <v>0</v>
      </c>
      <c r="B1" s="20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</row>
    <row r="2" spans="1:12" s="1" customFormat="1" ht="14.1" customHeight="1" x14ac:dyDescent="0.2">
      <c r="A2" s="14" t="s">
        <v>179</v>
      </c>
      <c r="B2" s="19" t="s">
        <v>178</v>
      </c>
      <c r="C2" s="24">
        <v>2006</v>
      </c>
      <c r="D2" s="28">
        <v>17.980332832334845</v>
      </c>
      <c r="E2" s="24">
        <v>1066</v>
      </c>
      <c r="F2" s="24">
        <v>488</v>
      </c>
      <c r="G2" s="24">
        <v>207</v>
      </c>
      <c r="H2" s="24">
        <v>95</v>
      </c>
      <c r="I2" s="24">
        <v>56</v>
      </c>
      <c r="J2" s="24">
        <v>89</v>
      </c>
      <c r="K2" s="24">
        <v>5</v>
      </c>
      <c r="L2" s="24"/>
    </row>
    <row r="3" spans="1:12" s="1" customFormat="1" ht="14.1" customHeight="1" x14ac:dyDescent="0.2">
      <c r="A3" s="15" t="s">
        <v>181</v>
      </c>
      <c r="B3" s="7" t="s">
        <v>180</v>
      </c>
      <c r="C3" s="4">
        <v>4537</v>
      </c>
      <c r="D3" s="5">
        <v>17.074348894207557</v>
      </c>
      <c r="E3" s="4">
        <v>2614</v>
      </c>
      <c r="F3" s="4">
        <v>1048</v>
      </c>
      <c r="G3" s="4">
        <v>363</v>
      </c>
      <c r="H3" s="4">
        <v>183</v>
      </c>
      <c r="I3" s="4">
        <v>113</v>
      </c>
      <c r="J3" s="4">
        <v>181</v>
      </c>
      <c r="K3" s="4">
        <v>35</v>
      </c>
      <c r="L3" s="4"/>
    </row>
    <row r="4" spans="1:12" s="1" customFormat="1" ht="14.1" customHeight="1" x14ac:dyDescent="0.2">
      <c r="A4" s="1">
        <v>243400736</v>
      </c>
      <c r="B4" s="17" t="s">
        <v>183</v>
      </c>
      <c r="C4" s="25">
        <v>160</v>
      </c>
      <c r="D4" s="29">
        <v>15.497781903375152</v>
      </c>
      <c r="E4" s="25">
        <v>103</v>
      </c>
      <c r="F4" s="25">
        <v>26</v>
      </c>
      <c r="G4" s="25">
        <v>16</v>
      </c>
      <c r="H4" s="25">
        <v>4</v>
      </c>
      <c r="I4" s="25">
        <v>5</v>
      </c>
      <c r="J4" s="25">
        <v>6</v>
      </c>
      <c r="K4" s="25"/>
      <c r="L4" s="25"/>
    </row>
    <row r="5" spans="1:12" s="1" customFormat="1" ht="18.2" customHeight="1" x14ac:dyDescent="0.2">
      <c r="A5" s="1">
        <v>243400694</v>
      </c>
      <c r="B5" s="7" t="s">
        <v>182</v>
      </c>
      <c r="C5" s="26">
        <v>525</v>
      </c>
      <c r="D5" s="30">
        <v>19.819600251749439</v>
      </c>
      <c r="E5" s="26">
        <v>276</v>
      </c>
      <c r="F5" s="25">
        <v>114</v>
      </c>
      <c r="G5" s="25">
        <v>51</v>
      </c>
      <c r="H5" s="25">
        <v>32</v>
      </c>
      <c r="I5" s="25">
        <v>16</v>
      </c>
      <c r="J5" s="25">
        <v>33</v>
      </c>
      <c r="K5" s="25">
        <v>3</v>
      </c>
      <c r="L5" s="25"/>
    </row>
    <row r="6" spans="1:12" s="1" customFormat="1" ht="22.7" customHeight="1" x14ac:dyDescent="0.2">
      <c r="A6" s="13">
        <v>243400520</v>
      </c>
      <c r="B6" s="22" t="s">
        <v>184</v>
      </c>
      <c r="C6" s="4">
        <v>1429</v>
      </c>
      <c r="D6" s="5">
        <v>23.11045359663456</v>
      </c>
      <c r="E6" s="4">
        <v>691</v>
      </c>
      <c r="F6" s="4">
        <v>300</v>
      </c>
      <c r="G6" s="4">
        <v>135</v>
      </c>
      <c r="H6" s="4">
        <v>93</v>
      </c>
      <c r="I6" s="4">
        <v>69</v>
      </c>
      <c r="J6" s="4">
        <v>131</v>
      </c>
      <c r="K6" s="4">
        <v>10</v>
      </c>
      <c r="L6" s="4"/>
    </row>
    <row r="7" spans="1:12" s="1" customFormat="1" ht="14.1" customHeight="1" x14ac:dyDescent="0.2">
      <c r="A7" s="8">
        <v>243400488</v>
      </c>
      <c r="B7" s="16" t="s">
        <v>177</v>
      </c>
      <c r="C7" s="23">
        <v>436</v>
      </c>
      <c r="D7" s="27">
        <v>14.43925681531079</v>
      </c>
      <c r="E7" s="23">
        <v>278</v>
      </c>
      <c r="F7" s="23">
        <v>89</v>
      </c>
      <c r="G7" s="23">
        <v>33</v>
      </c>
      <c r="H7" s="23">
        <v>15</v>
      </c>
      <c r="I7" s="23">
        <v>13</v>
      </c>
      <c r="J7" s="23">
        <v>7</v>
      </c>
      <c r="K7" s="23">
        <v>1</v>
      </c>
      <c r="L7" s="23"/>
    </row>
    <row r="8" spans="1:12" s="1" customFormat="1" ht="14.1" customHeight="1" x14ac:dyDescent="0.2">
      <c r="A8" s="8">
        <v>243400470</v>
      </c>
      <c r="B8" s="16" t="s">
        <v>176</v>
      </c>
      <c r="C8" s="23">
        <v>1482</v>
      </c>
      <c r="D8" s="27">
        <v>24.759500748578713</v>
      </c>
      <c r="E8" s="23">
        <v>675</v>
      </c>
      <c r="F8" s="23">
        <v>325</v>
      </c>
      <c r="G8" s="23">
        <v>145</v>
      </c>
      <c r="H8" s="23">
        <v>101</v>
      </c>
      <c r="I8" s="23">
        <v>68</v>
      </c>
      <c r="J8" s="23">
        <v>152</v>
      </c>
      <c r="K8" s="23">
        <v>16</v>
      </c>
      <c r="L8" s="23"/>
    </row>
    <row r="9" spans="1:12" s="1" customFormat="1" ht="14.1" customHeight="1" x14ac:dyDescent="0.2">
      <c r="A9" s="8">
        <v>243400355</v>
      </c>
      <c r="B9" s="16" t="s">
        <v>175</v>
      </c>
      <c r="C9" s="23">
        <v>562</v>
      </c>
      <c r="D9" s="27">
        <v>18.693261030248042</v>
      </c>
      <c r="E9" s="23">
        <v>295</v>
      </c>
      <c r="F9" s="23">
        <v>136</v>
      </c>
      <c r="G9" s="23">
        <v>59</v>
      </c>
      <c r="H9" s="23">
        <v>26</v>
      </c>
      <c r="I9" s="23">
        <v>12</v>
      </c>
      <c r="J9" s="23">
        <v>29</v>
      </c>
      <c r="K9" s="23">
        <v>5</v>
      </c>
      <c r="L9" s="23"/>
    </row>
    <row r="10" spans="1:12" s="1" customFormat="1" ht="14.1" customHeight="1" x14ac:dyDescent="0.2">
      <c r="A10" s="8">
        <v>243400017</v>
      </c>
      <c r="B10" s="16" t="s">
        <v>174</v>
      </c>
      <c r="C10" s="23">
        <v>25746</v>
      </c>
      <c r="D10" s="27">
        <v>23.757663215564573</v>
      </c>
      <c r="E10" s="23">
        <v>12306</v>
      </c>
      <c r="F10" s="23">
        <v>5487</v>
      </c>
      <c r="G10" s="23">
        <v>2628</v>
      </c>
      <c r="H10" s="23">
        <v>1611</v>
      </c>
      <c r="I10" s="23">
        <v>1055</v>
      </c>
      <c r="J10" s="23">
        <v>2328</v>
      </c>
      <c r="K10" s="23">
        <v>331</v>
      </c>
      <c r="L10" s="23"/>
    </row>
    <row r="11" spans="1:12" s="1" customFormat="1" ht="14.1" customHeight="1" x14ac:dyDescent="0.2">
      <c r="A11" s="10">
        <v>200071058</v>
      </c>
      <c r="B11" s="19" t="s">
        <v>173</v>
      </c>
      <c r="C11" s="24">
        <v>215</v>
      </c>
      <c r="D11" s="28">
        <v>16.470067150468171</v>
      </c>
      <c r="E11" s="24">
        <v>130</v>
      </c>
      <c r="F11" s="24">
        <v>35</v>
      </c>
      <c r="G11" s="24">
        <v>23</v>
      </c>
      <c r="H11" s="24">
        <v>15</v>
      </c>
      <c r="I11" s="24">
        <v>5</v>
      </c>
      <c r="J11" s="24">
        <v>6</v>
      </c>
      <c r="K11" s="24">
        <v>1</v>
      </c>
      <c r="L11" s="24"/>
    </row>
    <row r="12" spans="1:12" s="1" customFormat="1" ht="14.1" customHeight="1" x14ac:dyDescent="0.2">
      <c r="A12" s="10">
        <v>200066553</v>
      </c>
      <c r="B12" s="19" t="s">
        <v>172</v>
      </c>
      <c r="C12" s="24">
        <v>18</v>
      </c>
      <c r="D12" s="28">
        <v>9.2849458632019122</v>
      </c>
      <c r="E12" s="24">
        <v>15</v>
      </c>
      <c r="F12" s="24">
        <v>1</v>
      </c>
      <c r="G12" s="24">
        <v>2</v>
      </c>
      <c r="H12" s="24"/>
      <c r="I12" s="24"/>
      <c r="J12" s="24"/>
      <c r="K12" s="24"/>
      <c r="L12" s="24"/>
    </row>
    <row r="13" spans="1:12" s="1" customFormat="1" ht="14.1" customHeight="1" x14ac:dyDescent="0.2">
      <c r="A13" s="1">
        <v>200066355</v>
      </c>
      <c r="B13" s="7" t="s">
        <v>170</v>
      </c>
      <c r="C13" s="4">
        <v>4708</v>
      </c>
      <c r="D13" s="5">
        <v>22.786697640169777</v>
      </c>
      <c r="E13" s="4">
        <v>2123</v>
      </c>
      <c r="F13" s="4">
        <v>1088</v>
      </c>
      <c r="G13" s="4">
        <v>546</v>
      </c>
      <c r="H13" s="4">
        <v>316</v>
      </c>
      <c r="I13" s="4">
        <v>245</v>
      </c>
      <c r="J13" s="4">
        <v>361</v>
      </c>
      <c r="K13" s="4">
        <v>29</v>
      </c>
      <c r="L13" s="4"/>
    </row>
    <row r="14" spans="1:12" s="1" customFormat="1" ht="14.1" customHeight="1" x14ac:dyDescent="0.2">
      <c r="A14" s="1">
        <v>200066348</v>
      </c>
      <c r="B14" s="17" t="s">
        <v>171</v>
      </c>
      <c r="C14" s="25">
        <v>57</v>
      </c>
      <c r="D14" s="29">
        <v>10.833050007598143</v>
      </c>
      <c r="E14" s="25">
        <v>44</v>
      </c>
      <c r="F14" s="25">
        <v>5</v>
      </c>
      <c r="G14" s="25">
        <v>5</v>
      </c>
      <c r="H14" s="25">
        <v>1</v>
      </c>
      <c r="I14" s="25">
        <v>1</v>
      </c>
      <c r="J14" s="25">
        <v>1</v>
      </c>
      <c r="K14" s="25"/>
      <c r="L14" s="25"/>
    </row>
    <row r="15" spans="1:12" s="1" customFormat="1" ht="18.2" customHeight="1" x14ac:dyDescent="0.2">
      <c r="A15" s="1">
        <v>200042653</v>
      </c>
      <c r="B15" s="7" t="s">
        <v>169</v>
      </c>
      <c r="C15" s="26">
        <v>122</v>
      </c>
      <c r="D15" s="30">
        <v>14.720782290503747</v>
      </c>
      <c r="E15" s="26">
        <v>73</v>
      </c>
      <c r="F15" s="25">
        <v>32</v>
      </c>
      <c r="G15" s="25">
        <v>8</v>
      </c>
      <c r="H15" s="25">
        <v>4</v>
      </c>
      <c r="I15" s="25">
        <v>2</v>
      </c>
      <c r="J15" s="25">
        <v>2</v>
      </c>
      <c r="K15" s="25">
        <v>1</v>
      </c>
      <c r="L15" s="25"/>
    </row>
    <row r="16" spans="1:12" s="1" customFormat="1" ht="22.7" customHeight="1" x14ac:dyDescent="0.2">
      <c r="A16" s="13">
        <v>200042646</v>
      </c>
      <c r="B16" s="22" t="s">
        <v>168</v>
      </c>
      <c r="C16" s="4">
        <v>200</v>
      </c>
      <c r="D16" s="5">
        <v>12.898870598118279</v>
      </c>
      <c r="E16" s="4">
        <v>141</v>
      </c>
      <c r="F16" s="4">
        <v>37</v>
      </c>
      <c r="G16" s="4">
        <v>10</v>
      </c>
      <c r="H16" s="4">
        <v>4</v>
      </c>
      <c r="I16" s="4">
        <v>1</v>
      </c>
      <c r="J16" s="4">
        <v>7</v>
      </c>
      <c r="K16" s="4"/>
      <c r="L16" s="4"/>
    </row>
    <row r="17" spans="1:12" s="1" customFormat="1" ht="14.1" customHeight="1" x14ac:dyDescent="0.2">
      <c r="A17" s="8">
        <v>200022986</v>
      </c>
      <c r="B17" s="16" t="s">
        <v>167</v>
      </c>
      <c r="C17" s="23">
        <v>603</v>
      </c>
      <c r="D17" s="27">
        <v>21.215160400580722</v>
      </c>
      <c r="E17" s="23">
        <v>293</v>
      </c>
      <c r="F17" s="23">
        <v>140</v>
      </c>
      <c r="G17" s="23">
        <v>58</v>
      </c>
      <c r="H17" s="23">
        <v>44</v>
      </c>
      <c r="I17" s="23">
        <v>21</v>
      </c>
      <c r="J17" s="23">
        <v>43</v>
      </c>
      <c r="K17" s="23">
        <v>4</v>
      </c>
      <c r="L17" s="23"/>
    </row>
    <row r="18" spans="1:12" s="1" customFormat="1" ht="14.1" customHeight="1" x14ac:dyDescent="0.2">
      <c r="A18" s="8">
        <v>200017341</v>
      </c>
      <c r="B18" s="16" t="s">
        <v>166</v>
      </c>
      <c r="C18" s="23">
        <v>168</v>
      </c>
      <c r="D18" s="27">
        <v>16.355798406653577</v>
      </c>
      <c r="E18" s="23">
        <v>92</v>
      </c>
      <c r="F18" s="23">
        <v>38</v>
      </c>
      <c r="G18" s="23">
        <v>24</v>
      </c>
      <c r="H18" s="23">
        <v>5</v>
      </c>
      <c r="I18" s="23">
        <v>4</v>
      </c>
      <c r="J18" s="23">
        <v>5</v>
      </c>
      <c r="K18" s="23"/>
      <c r="L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5" width="10.140625" customWidth="1"/>
    <col min="6" max="6" width="10" customWidth="1"/>
    <col min="7" max="7" width="10.140625" customWidth="1"/>
    <col min="8" max="8" width="10" customWidth="1"/>
    <col min="9" max="13" width="10.140625" customWidth="1"/>
    <col min="14" max="14" width="10" customWidth="1"/>
    <col min="15" max="20" width="10.140625" customWidth="1"/>
  </cols>
  <sheetData>
    <row r="1" spans="1:20" s="1" customFormat="1" ht="14.1" customHeight="1" x14ac:dyDescent="0.2">
      <c r="A1" s="12" t="s">
        <v>0</v>
      </c>
      <c r="B1" s="21" t="s">
        <v>1</v>
      </c>
      <c r="C1" s="12" t="s">
        <v>2</v>
      </c>
      <c r="D1" s="12" t="s">
        <v>12</v>
      </c>
      <c r="E1" s="12" t="s">
        <v>13</v>
      </c>
      <c r="F1" s="12" t="s">
        <v>14</v>
      </c>
      <c r="G1" s="12" t="s">
        <v>15</v>
      </c>
      <c r="H1" s="12" t="s">
        <v>16</v>
      </c>
      <c r="I1" s="12" t="s">
        <v>17</v>
      </c>
      <c r="J1" s="12" t="s">
        <v>18</v>
      </c>
      <c r="K1" s="12" t="s">
        <v>19</v>
      </c>
      <c r="L1" s="12" t="s">
        <v>20</v>
      </c>
      <c r="M1" s="12" t="s">
        <v>21</v>
      </c>
      <c r="N1" s="12" t="s">
        <v>22</v>
      </c>
      <c r="O1" s="12" t="s">
        <v>23</v>
      </c>
      <c r="P1" s="12" t="s">
        <v>24</v>
      </c>
      <c r="Q1" s="12" t="s">
        <v>25</v>
      </c>
      <c r="R1" s="12" t="s">
        <v>11</v>
      </c>
      <c r="S1" s="12" t="s">
        <v>26</v>
      </c>
      <c r="T1" s="12" t="s">
        <v>27</v>
      </c>
    </row>
    <row r="2" spans="1:20" s="1" customFormat="1" ht="14.1" customHeight="1" x14ac:dyDescent="0.2">
      <c r="A2" s="15" t="s">
        <v>179</v>
      </c>
      <c r="B2" s="7" t="s">
        <v>178</v>
      </c>
      <c r="C2" s="4">
        <v>2006</v>
      </c>
      <c r="D2" s="6">
        <v>46.246759720837488</v>
      </c>
      <c r="E2" s="4">
        <v>9</v>
      </c>
      <c r="F2" s="4">
        <v>129</v>
      </c>
      <c r="G2" s="4">
        <v>189</v>
      </c>
      <c r="H2" s="4">
        <v>206</v>
      </c>
      <c r="I2" s="4">
        <v>236</v>
      </c>
      <c r="J2" s="4">
        <v>214</v>
      </c>
      <c r="K2" s="4">
        <v>203</v>
      </c>
      <c r="L2" s="4">
        <v>223</v>
      </c>
      <c r="M2" s="4">
        <v>168</v>
      </c>
      <c r="N2" s="4">
        <v>145</v>
      </c>
      <c r="O2" s="4">
        <v>119</v>
      </c>
      <c r="P2" s="4">
        <v>81</v>
      </c>
      <c r="Q2" s="4">
        <v>82</v>
      </c>
      <c r="R2" s="4">
        <v>2</v>
      </c>
      <c r="S2" s="4"/>
      <c r="T2" s="4"/>
    </row>
    <row r="3" spans="1:20" s="1" customFormat="1" ht="14.1" customHeight="1" x14ac:dyDescent="0.2">
      <c r="A3" s="15" t="s">
        <v>181</v>
      </c>
      <c r="B3" s="17" t="s">
        <v>180</v>
      </c>
      <c r="C3" s="25">
        <v>4537</v>
      </c>
      <c r="D3" s="34">
        <v>45.437293365660125</v>
      </c>
      <c r="E3" s="25">
        <v>25</v>
      </c>
      <c r="F3" s="25">
        <v>278</v>
      </c>
      <c r="G3" s="25">
        <v>466</v>
      </c>
      <c r="H3" s="25">
        <v>557</v>
      </c>
      <c r="I3" s="25">
        <v>517</v>
      </c>
      <c r="J3" s="25">
        <v>521</v>
      </c>
      <c r="K3" s="25">
        <v>443</v>
      </c>
      <c r="L3" s="25">
        <v>442</v>
      </c>
      <c r="M3" s="25">
        <v>352</v>
      </c>
      <c r="N3" s="25">
        <v>304</v>
      </c>
      <c r="O3" s="25">
        <v>288</v>
      </c>
      <c r="P3" s="25">
        <v>164</v>
      </c>
      <c r="Q3" s="25">
        <v>180</v>
      </c>
      <c r="R3" s="25"/>
      <c r="S3" s="25"/>
      <c r="T3" s="25"/>
    </row>
    <row r="4" spans="1:20" s="1" customFormat="1" ht="18.2" customHeight="1" x14ac:dyDescent="0.2">
      <c r="A4" s="1">
        <v>243400736</v>
      </c>
      <c r="B4" s="7" t="s">
        <v>183</v>
      </c>
      <c r="C4" s="26">
        <v>160</v>
      </c>
      <c r="D4" s="32">
        <v>48.825000000000003</v>
      </c>
      <c r="E4" s="26"/>
      <c r="F4" s="26">
        <v>5</v>
      </c>
      <c r="G4" s="25">
        <v>13</v>
      </c>
      <c r="H4" s="25">
        <v>13</v>
      </c>
      <c r="I4" s="25">
        <v>20</v>
      </c>
      <c r="J4" s="25">
        <v>17</v>
      </c>
      <c r="K4" s="25">
        <v>18</v>
      </c>
      <c r="L4" s="25">
        <v>17</v>
      </c>
      <c r="M4" s="25">
        <v>15</v>
      </c>
      <c r="N4" s="25">
        <v>14</v>
      </c>
      <c r="O4" s="25">
        <v>11</v>
      </c>
      <c r="P4" s="25">
        <v>12</v>
      </c>
      <c r="Q4" s="25">
        <v>5</v>
      </c>
      <c r="R4" s="25"/>
      <c r="S4" s="25"/>
      <c r="T4" s="25"/>
    </row>
    <row r="5" spans="1:20" s="1" customFormat="1" ht="22.7" customHeight="1" x14ac:dyDescent="0.2">
      <c r="A5" s="13">
        <v>243400694</v>
      </c>
      <c r="B5" s="22" t="s">
        <v>182</v>
      </c>
      <c r="C5" s="4">
        <v>525</v>
      </c>
      <c r="D5" s="6">
        <v>44.392380952380954</v>
      </c>
      <c r="E5" s="4">
        <v>4</v>
      </c>
      <c r="F5" s="4">
        <v>31</v>
      </c>
      <c r="G5" s="4">
        <v>44</v>
      </c>
      <c r="H5" s="4">
        <v>75</v>
      </c>
      <c r="I5" s="4">
        <v>80</v>
      </c>
      <c r="J5" s="4">
        <v>59</v>
      </c>
      <c r="K5" s="4">
        <v>52</v>
      </c>
      <c r="L5" s="4">
        <v>46</v>
      </c>
      <c r="M5" s="4">
        <v>34</v>
      </c>
      <c r="N5" s="4">
        <v>43</v>
      </c>
      <c r="O5" s="4">
        <v>18</v>
      </c>
      <c r="P5" s="4">
        <v>24</v>
      </c>
      <c r="Q5" s="4">
        <v>15</v>
      </c>
      <c r="R5" s="4"/>
      <c r="S5" s="4"/>
      <c r="T5" s="4"/>
    </row>
    <row r="6" spans="1:20" s="1" customFormat="1" ht="14.1" customHeight="1" x14ac:dyDescent="0.2">
      <c r="A6" s="8">
        <v>243400520</v>
      </c>
      <c r="B6" s="16" t="s">
        <v>184</v>
      </c>
      <c r="C6" s="23">
        <v>1429</v>
      </c>
      <c r="D6" s="31">
        <v>45.18404478656403</v>
      </c>
      <c r="E6" s="23">
        <v>8</v>
      </c>
      <c r="F6" s="23">
        <v>74</v>
      </c>
      <c r="G6" s="23">
        <v>135</v>
      </c>
      <c r="H6" s="23">
        <v>157</v>
      </c>
      <c r="I6" s="23">
        <v>202</v>
      </c>
      <c r="J6" s="23">
        <v>185</v>
      </c>
      <c r="K6" s="23">
        <v>177</v>
      </c>
      <c r="L6" s="23">
        <v>134</v>
      </c>
      <c r="M6" s="23">
        <v>91</v>
      </c>
      <c r="N6" s="23">
        <v>83</v>
      </c>
      <c r="O6" s="23">
        <v>81</v>
      </c>
      <c r="P6" s="23">
        <v>48</v>
      </c>
      <c r="Q6" s="23">
        <v>54</v>
      </c>
      <c r="R6" s="23"/>
      <c r="S6" s="23"/>
      <c r="T6" s="23"/>
    </row>
    <row r="7" spans="1:20" s="1" customFormat="1" ht="14.1" customHeight="1" x14ac:dyDescent="0.2">
      <c r="A7" s="8">
        <v>243400488</v>
      </c>
      <c r="B7" s="16" t="s">
        <v>177</v>
      </c>
      <c r="C7" s="23">
        <v>436</v>
      </c>
      <c r="D7" s="31">
        <v>43.637614678899084</v>
      </c>
      <c r="E7" s="23">
        <v>1</v>
      </c>
      <c r="F7" s="23">
        <v>33</v>
      </c>
      <c r="G7" s="23">
        <v>49</v>
      </c>
      <c r="H7" s="23">
        <v>73</v>
      </c>
      <c r="I7" s="23">
        <v>51</v>
      </c>
      <c r="J7" s="23">
        <v>38</v>
      </c>
      <c r="K7" s="23">
        <v>38</v>
      </c>
      <c r="L7" s="23">
        <v>39</v>
      </c>
      <c r="M7" s="23">
        <v>43</v>
      </c>
      <c r="N7" s="23">
        <v>27</v>
      </c>
      <c r="O7" s="23">
        <v>16</v>
      </c>
      <c r="P7" s="23">
        <v>12</v>
      </c>
      <c r="Q7" s="23">
        <v>16</v>
      </c>
      <c r="R7" s="23"/>
      <c r="S7" s="23"/>
      <c r="T7" s="23"/>
    </row>
    <row r="8" spans="1:20" s="1" customFormat="1" ht="14.1" customHeight="1" x14ac:dyDescent="0.2">
      <c r="A8" s="8">
        <v>243400470</v>
      </c>
      <c r="B8" s="16" t="s">
        <v>176</v>
      </c>
      <c r="C8" s="23">
        <v>1482</v>
      </c>
      <c r="D8" s="31">
        <v>46.92307692307692</v>
      </c>
      <c r="E8" s="23">
        <v>24</v>
      </c>
      <c r="F8" s="23">
        <v>73</v>
      </c>
      <c r="G8" s="23">
        <v>130</v>
      </c>
      <c r="H8" s="23">
        <v>139</v>
      </c>
      <c r="I8" s="23">
        <v>167</v>
      </c>
      <c r="J8" s="23">
        <v>169</v>
      </c>
      <c r="K8" s="23">
        <v>166</v>
      </c>
      <c r="L8" s="23">
        <v>128</v>
      </c>
      <c r="M8" s="23">
        <v>137</v>
      </c>
      <c r="N8" s="23">
        <v>116</v>
      </c>
      <c r="O8" s="23">
        <v>93</v>
      </c>
      <c r="P8" s="23">
        <v>81</v>
      </c>
      <c r="Q8" s="23">
        <v>59</v>
      </c>
      <c r="R8" s="23"/>
      <c r="S8" s="23"/>
      <c r="T8" s="23"/>
    </row>
    <row r="9" spans="1:20" s="1" customFormat="1" ht="14.1" customHeight="1" x14ac:dyDescent="0.2">
      <c r="A9" s="8">
        <v>243400355</v>
      </c>
      <c r="B9" s="16" t="s">
        <v>175</v>
      </c>
      <c r="C9" s="23">
        <v>562</v>
      </c>
      <c r="D9" s="31">
        <v>45.571174377224196</v>
      </c>
      <c r="E9" s="23">
        <v>4</v>
      </c>
      <c r="F9" s="23">
        <v>35</v>
      </c>
      <c r="G9" s="23">
        <v>48</v>
      </c>
      <c r="H9" s="23">
        <v>60</v>
      </c>
      <c r="I9" s="23">
        <v>67</v>
      </c>
      <c r="J9" s="23">
        <v>70</v>
      </c>
      <c r="K9" s="23">
        <v>63</v>
      </c>
      <c r="L9" s="23">
        <v>60</v>
      </c>
      <c r="M9" s="23">
        <v>45</v>
      </c>
      <c r="N9" s="23">
        <v>38</v>
      </c>
      <c r="O9" s="23">
        <v>40</v>
      </c>
      <c r="P9" s="23">
        <v>20</v>
      </c>
      <c r="Q9" s="23">
        <v>12</v>
      </c>
      <c r="R9" s="23"/>
      <c r="S9" s="23"/>
      <c r="T9" s="23"/>
    </row>
    <row r="10" spans="1:20" s="1" customFormat="1" ht="14.1" customHeight="1" x14ac:dyDescent="0.2">
      <c r="A10" s="10">
        <v>243400017</v>
      </c>
      <c r="B10" s="19" t="s">
        <v>174</v>
      </c>
      <c r="C10" s="24">
        <v>25746</v>
      </c>
      <c r="D10" s="33">
        <v>42.450477744115588</v>
      </c>
      <c r="E10" s="24">
        <v>161</v>
      </c>
      <c r="F10" s="24">
        <v>1859</v>
      </c>
      <c r="G10" s="24">
        <v>3390</v>
      </c>
      <c r="H10" s="24">
        <v>3602</v>
      </c>
      <c r="I10" s="24">
        <v>3359</v>
      </c>
      <c r="J10" s="24">
        <v>3093</v>
      </c>
      <c r="K10" s="24">
        <v>2688</v>
      </c>
      <c r="L10" s="24">
        <v>2283</v>
      </c>
      <c r="M10" s="24">
        <v>1811</v>
      </c>
      <c r="N10" s="24">
        <v>1283</v>
      </c>
      <c r="O10" s="24">
        <v>971</v>
      </c>
      <c r="P10" s="24">
        <v>616</v>
      </c>
      <c r="Q10" s="24">
        <v>629</v>
      </c>
      <c r="R10" s="24">
        <v>1</v>
      </c>
      <c r="S10" s="24"/>
      <c r="T10" s="24"/>
    </row>
    <row r="11" spans="1:20" s="1" customFormat="1" ht="14.1" customHeight="1" x14ac:dyDescent="0.2">
      <c r="A11" s="10">
        <v>200071058</v>
      </c>
      <c r="B11" s="19" t="s">
        <v>173</v>
      </c>
      <c r="C11" s="24">
        <v>215</v>
      </c>
      <c r="D11" s="33">
        <v>45.939534883720931</v>
      </c>
      <c r="E11" s="24">
        <v>3</v>
      </c>
      <c r="F11" s="24">
        <v>15</v>
      </c>
      <c r="G11" s="24">
        <v>27</v>
      </c>
      <c r="H11" s="24">
        <v>24</v>
      </c>
      <c r="I11" s="24">
        <v>28</v>
      </c>
      <c r="J11" s="24">
        <v>18</v>
      </c>
      <c r="K11" s="24">
        <v>14</v>
      </c>
      <c r="L11" s="24">
        <v>16</v>
      </c>
      <c r="M11" s="24">
        <v>18</v>
      </c>
      <c r="N11" s="24">
        <v>14</v>
      </c>
      <c r="O11" s="24">
        <v>12</v>
      </c>
      <c r="P11" s="24">
        <v>13</v>
      </c>
      <c r="Q11" s="24">
        <v>13</v>
      </c>
      <c r="R11" s="24"/>
      <c r="S11" s="24"/>
      <c r="T11" s="24"/>
    </row>
    <row r="12" spans="1:20" s="1" customFormat="1" ht="14.1" customHeight="1" x14ac:dyDescent="0.2">
      <c r="A12" s="1">
        <v>200066553</v>
      </c>
      <c r="B12" s="7" t="s">
        <v>172</v>
      </c>
      <c r="C12" s="4">
        <v>18</v>
      </c>
      <c r="D12" s="6">
        <v>45.5</v>
      </c>
      <c r="E12" s="4"/>
      <c r="F12" s="4"/>
      <c r="G12" s="4">
        <v>2</v>
      </c>
      <c r="H12" s="4">
        <v>4</v>
      </c>
      <c r="I12" s="4">
        <v>1</v>
      </c>
      <c r="J12" s="4">
        <v>3</v>
      </c>
      <c r="K12" s="4">
        <v>2</v>
      </c>
      <c r="L12" s="4">
        <v>1</v>
      </c>
      <c r="M12" s="4">
        <v>1</v>
      </c>
      <c r="N12" s="4">
        <v>1</v>
      </c>
      <c r="O12" s="4">
        <v>2</v>
      </c>
      <c r="P12" s="4">
        <v>1</v>
      </c>
      <c r="Q12" s="4"/>
      <c r="R12" s="4"/>
      <c r="S12" s="4"/>
      <c r="T12" s="4"/>
    </row>
    <row r="13" spans="1:20" s="1" customFormat="1" ht="14.1" customHeight="1" x14ac:dyDescent="0.2">
      <c r="A13" s="1">
        <v>200066355</v>
      </c>
      <c r="B13" s="17" t="s">
        <v>170</v>
      </c>
      <c r="C13" s="25">
        <v>4708</v>
      </c>
      <c r="D13" s="34">
        <v>46.612999150382329</v>
      </c>
      <c r="E13" s="25">
        <v>25</v>
      </c>
      <c r="F13" s="25">
        <v>275</v>
      </c>
      <c r="G13" s="25">
        <v>428</v>
      </c>
      <c r="H13" s="25">
        <v>521</v>
      </c>
      <c r="I13" s="25">
        <v>544</v>
      </c>
      <c r="J13" s="25">
        <v>479</v>
      </c>
      <c r="K13" s="25">
        <v>467</v>
      </c>
      <c r="L13" s="25">
        <v>477</v>
      </c>
      <c r="M13" s="25">
        <v>397</v>
      </c>
      <c r="N13" s="25">
        <v>385</v>
      </c>
      <c r="O13" s="25">
        <v>307</v>
      </c>
      <c r="P13" s="25">
        <v>205</v>
      </c>
      <c r="Q13" s="25">
        <v>198</v>
      </c>
      <c r="R13" s="25"/>
      <c r="S13" s="25"/>
      <c r="T13" s="25"/>
    </row>
    <row r="14" spans="1:20" s="1" customFormat="1" ht="18.2" customHeight="1" x14ac:dyDescent="0.2">
      <c r="A14" s="1">
        <v>200066348</v>
      </c>
      <c r="B14" s="7" t="s">
        <v>171</v>
      </c>
      <c r="C14" s="26">
        <v>57</v>
      </c>
      <c r="D14" s="32">
        <v>46.684210526315788</v>
      </c>
      <c r="E14" s="26">
        <v>1</v>
      </c>
      <c r="F14" s="26">
        <v>1</v>
      </c>
      <c r="G14" s="25">
        <v>3</v>
      </c>
      <c r="H14" s="25">
        <v>7</v>
      </c>
      <c r="I14" s="25">
        <v>10</v>
      </c>
      <c r="J14" s="25">
        <v>6</v>
      </c>
      <c r="K14" s="25">
        <v>5</v>
      </c>
      <c r="L14" s="25">
        <v>9</v>
      </c>
      <c r="M14" s="25">
        <v>6</v>
      </c>
      <c r="N14" s="25">
        <v>4</v>
      </c>
      <c r="O14" s="25"/>
      <c r="P14" s="25"/>
      <c r="Q14" s="25">
        <v>5</v>
      </c>
      <c r="R14" s="25"/>
      <c r="S14" s="25"/>
      <c r="T14" s="25"/>
    </row>
    <row r="15" spans="1:20" s="1" customFormat="1" ht="22.7" customHeight="1" x14ac:dyDescent="0.2">
      <c r="A15" s="13">
        <v>200042653</v>
      </c>
      <c r="B15" s="22" t="s">
        <v>169</v>
      </c>
      <c r="C15" s="4">
        <v>122</v>
      </c>
      <c r="D15" s="6">
        <v>46.139344262295083</v>
      </c>
      <c r="E15" s="4">
        <v>1</v>
      </c>
      <c r="F15" s="4">
        <v>7</v>
      </c>
      <c r="G15" s="4">
        <v>6</v>
      </c>
      <c r="H15" s="4">
        <v>14</v>
      </c>
      <c r="I15" s="4">
        <v>16</v>
      </c>
      <c r="J15" s="4">
        <v>14</v>
      </c>
      <c r="K15" s="4">
        <v>14</v>
      </c>
      <c r="L15" s="4">
        <v>13</v>
      </c>
      <c r="M15" s="4">
        <v>15</v>
      </c>
      <c r="N15" s="4">
        <v>6</v>
      </c>
      <c r="O15" s="4">
        <v>8</v>
      </c>
      <c r="P15" s="4">
        <v>6</v>
      </c>
      <c r="Q15" s="4">
        <v>2</v>
      </c>
      <c r="R15" s="4"/>
      <c r="S15" s="4"/>
      <c r="T15" s="4"/>
    </row>
    <row r="16" spans="1:20" s="1" customFormat="1" ht="14.1" customHeight="1" x14ac:dyDescent="0.2">
      <c r="A16" s="8">
        <v>200042646</v>
      </c>
      <c r="B16" s="16" t="s">
        <v>168</v>
      </c>
      <c r="C16" s="23">
        <v>200</v>
      </c>
      <c r="D16" s="31">
        <v>47.09</v>
      </c>
      <c r="E16" s="23"/>
      <c r="F16" s="23">
        <v>12</v>
      </c>
      <c r="G16" s="23">
        <v>19</v>
      </c>
      <c r="H16" s="23">
        <v>18</v>
      </c>
      <c r="I16" s="23">
        <v>23</v>
      </c>
      <c r="J16" s="23">
        <v>20</v>
      </c>
      <c r="K16" s="23">
        <v>26</v>
      </c>
      <c r="L16" s="23">
        <v>14</v>
      </c>
      <c r="M16" s="23">
        <v>18</v>
      </c>
      <c r="N16" s="23">
        <v>20</v>
      </c>
      <c r="O16" s="23">
        <v>14</v>
      </c>
      <c r="P16" s="23">
        <v>7</v>
      </c>
      <c r="Q16" s="23">
        <v>9</v>
      </c>
      <c r="R16" s="23"/>
      <c r="S16" s="23"/>
      <c r="T16" s="23"/>
    </row>
    <row r="17" spans="1:20" s="1" customFormat="1" ht="14.1" customHeight="1" x14ac:dyDescent="0.2">
      <c r="A17" s="8">
        <v>200022986</v>
      </c>
      <c r="B17" s="16" t="s">
        <v>167</v>
      </c>
      <c r="C17" s="23">
        <v>603</v>
      </c>
      <c r="D17" s="31">
        <v>43.437810945273633</v>
      </c>
      <c r="E17" s="23">
        <v>2</v>
      </c>
      <c r="F17" s="23">
        <v>36</v>
      </c>
      <c r="G17" s="23">
        <v>58</v>
      </c>
      <c r="H17" s="23">
        <v>100</v>
      </c>
      <c r="I17" s="23">
        <v>80</v>
      </c>
      <c r="J17" s="23">
        <v>80</v>
      </c>
      <c r="K17" s="23">
        <v>70</v>
      </c>
      <c r="L17" s="23">
        <v>47</v>
      </c>
      <c r="M17" s="23">
        <v>38</v>
      </c>
      <c r="N17" s="23">
        <v>33</v>
      </c>
      <c r="O17" s="23">
        <v>18</v>
      </c>
      <c r="P17" s="23">
        <v>17</v>
      </c>
      <c r="Q17" s="23">
        <v>24</v>
      </c>
      <c r="R17" s="23"/>
      <c r="S17" s="23"/>
      <c r="T17" s="23"/>
    </row>
    <row r="18" spans="1:20" s="1" customFormat="1" ht="14.1" customHeight="1" x14ac:dyDescent="0.2">
      <c r="A18" s="8">
        <v>200017341</v>
      </c>
      <c r="B18" s="16" t="s">
        <v>166</v>
      </c>
      <c r="C18" s="23">
        <v>168</v>
      </c>
      <c r="D18" s="31">
        <v>47.154761904761905</v>
      </c>
      <c r="E18" s="23"/>
      <c r="F18" s="23">
        <v>3</v>
      </c>
      <c r="G18" s="23">
        <v>11</v>
      </c>
      <c r="H18" s="23">
        <v>26</v>
      </c>
      <c r="I18" s="23">
        <v>17</v>
      </c>
      <c r="J18" s="23">
        <v>26</v>
      </c>
      <c r="K18" s="23">
        <v>20</v>
      </c>
      <c r="L18" s="23">
        <v>12</v>
      </c>
      <c r="M18" s="23">
        <v>15</v>
      </c>
      <c r="N18" s="23">
        <v>15</v>
      </c>
      <c r="O18" s="23">
        <v>6</v>
      </c>
      <c r="P18" s="23">
        <v>11</v>
      </c>
      <c r="Q18" s="23">
        <v>6</v>
      </c>
      <c r="R18" s="23"/>
      <c r="S18" s="23"/>
      <c r="T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3" width="10.140625" customWidth="1"/>
    <col min="4" max="9" width="15.42578125" customWidth="1"/>
    <col min="10" max="10" width="31.5703125" customWidth="1"/>
  </cols>
  <sheetData>
    <row r="1" spans="1:9" s="1" customFormat="1" ht="14.1" customHeight="1" x14ac:dyDescent="0.2">
      <c r="A1" s="12" t="s">
        <v>0</v>
      </c>
      <c r="B1" s="21" t="s">
        <v>1</v>
      </c>
      <c r="C1" s="12" t="s">
        <v>2</v>
      </c>
      <c r="D1" s="12" t="s">
        <v>28</v>
      </c>
      <c r="E1" s="12" t="s">
        <v>29</v>
      </c>
      <c r="F1" s="12" t="s">
        <v>30</v>
      </c>
      <c r="G1" s="12" t="s">
        <v>11</v>
      </c>
      <c r="H1" s="12" t="s">
        <v>31</v>
      </c>
      <c r="I1" s="12" t="s">
        <v>27</v>
      </c>
    </row>
    <row r="2" spans="1:9" s="1" customFormat="1" ht="14.1" customHeight="1" x14ac:dyDescent="0.2">
      <c r="A2" s="15" t="s">
        <v>179</v>
      </c>
      <c r="B2" s="7" t="s">
        <v>178</v>
      </c>
      <c r="C2" s="4">
        <v>2006</v>
      </c>
      <c r="D2" s="4">
        <v>1715</v>
      </c>
      <c r="E2" s="4">
        <v>226</v>
      </c>
      <c r="F2" s="4">
        <v>65</v>
      </c>
      <c r="G2" s="4"/>
      <c r="H2" s="4"/>
      <c r="I2" s="4"/>
    </row>
    <row r="3" spans="1:9" s="1" customFormat="1" ht="14.1" customHeight="1" x14ac:dyDescent="0.2">
      <c r="A3" s="15" t="s">
        <v>181</v>
      </c>
      <c r="B3" s="17" t="s">
        <v>180</v>
      </c>
      <c r="C3" s="25">
        <v>4537</v>
      </c>
      <c r="D3" s="25">
        <v>3479</v>
      </c>
      <c r="E3" s="25">
        <v>818</v>
      </c>
      <c r="F3" s="25">
        <v>240</v>
      </c>
      <c r="G3" s="25"/>
      <c r="H3" s="25"/>
      <c r="I3" s="25"/>
    </row>
    <row r="4" spans="1:9" s="1" customFormat="1" ht="18.2" customHeight="1" x14ac:dyDescent="0.2">
      <c r="A4" s="1">
        <v>243400736</v>
      </c>
      <c r="B4" s="7" t="s">
        <v>183</v>
      </c>
      <c r="C4" s="26">
        <v>160</v>
      </c>
      <c r="D4" s="26">
        <v>125</v>
      </c>
      <c r="E4" s="26">
        <v>29</v>
      </c>
      <c r="F4" s="25">
        <v>6</v>
      </c>
      <c r="G4" s="25"/>
      <c r="H4" s="25"/>
      <c r="I4" s="25"/>
    </row>
    <row r="5" spans="1:9" s="1" customFormat="1" ht="22.7" customHeight="1" x14ac:dyDescent="0.2">
      <c r="A5" s="13">
        <v>243400694</v>
      </c>
      <c r="B5" s="22" t="s">
        <v>182</v>
      </c>
      <c r="C5" s="4">
        <v>525</v>
      </c>
      <c r="D5" s="4">
        <v>461</v>
      </c>
      <c r="E5" s="4">
        <v>53</v>
      </c>
      <c r="F5" s="4">
        <v>11</v>
      </c>
      <c r="G5" s="4"/>
      <c r="H5" s="4"/>
      <c r="I5" s="4"/>
    </row>
    <row r="6" spans="1:9" s="1" customFormat="1" ht="14.1" customHeight="1" x14ac:dyDescent="0.2">
      <c r="A6" s="8">
        <v>243400520</v>
      </c>
      <c r="B6" s="16" t="s">
        <v>184</v>
      </c>
      <c r="C6" s="23">
        <v>1429</v>
      </c>
      <c r="D6" s="23">
        <v>1102</v>
      </c>
      <c r="E6" s="23">
        <v>235</v>
      </c>
      <c r="F6" s="23">
        <v>92</v>
      </c>
      <c r="G6" s="23"/>
      <c r="H6" s="23"/>
      <c r="I6" s="23"/>
    </row>
    <row r="7" spans="1:9" s="1" customFormat="1" ht="14.1" customHeight="1" x14ac:dyDescent="0.2">
      <c r="A7" s="8">
        <v>243400488</v>
      </c>
      <c r="B7" s="16" t="s">
        <v>177</v>
      </c>
      <c r="C7" s="23">
        <v>436</v>
      </c>
      <c r="D7" s="23">
        <v>407</v>
      </c>
      <c r="E7" s="23">
        <v>20</v>
      </c>
      <c r="F7" s="23">
        <v>9</v>
      </c>
      <c r="G7" s="23"/>
      <c r="H7" s="23"/>
      <c r="I7" s="23"/>
    </row>
    <row r="8" spans="1:9" s="1" customFormat="1" ht="14.1" customHeight="1" x14ac:dyDescent="0.2">
      <c r="A8" s="8">
        <v>243400470</v>
      </c>
      <c r="B8" s="16" t="s">
        <v>176</v>
      </c>
      <c r="C8" s="23">
        <v>1482</v>
      </c>
      <c r="D8" s="23">
        <v>1331</v>
      </c>
      <c r="E8" s="23">
        <v>90</v>
      </c>
      <c r="F8" s="23">
        <v>61</v>
      </c>
      <c r="G8" s="23"/>
      <c r="H8" s="23"/>
      <c r="I8" s="23"/>
    </row>
    <row r="9" spans="1:9" s="1" customFormat="1" ht="14.1" customHeight="1" x14ac:dyDescent="0.2">
      <c r="A9" s="8">
        <v>243400355</v>
      </c>
      <c r="B9" s="16" t="s">
        <v>175</v>
      </c>
      <c r="C9" s="23">
        <v>562</v>
      </c>
      <c r="D9" s="23">
        <v>465</v>
      </c>
      <c r="E9" s="23">
        <v>85</v>
      </c>
      <c r="F9" s="23">
        <v>12</v>
      </c>
      <c r="G9" s="23"/>
      <c r="H9" s="23"/>
      <c r="I9" s="23"/>
    </row>
    <row r="10" spans="1:9" s="1" customFormat="1" ht="14.1" customHeight="1" x14ac:dyDescent="0.2">
      <c r="A10" s="10">
        <v>243400017</v>
      </c>
      <c r="B10" s="19" t="s">
        <v>174</v>
      </c>
      <c r="C10" s="24">
        <v>25746</v>
      </c>
      <c r="D10" s="24">
        <v>19116</v>
      </c>
      <c r="E10" s="24">
        <v>5436</v>
      </c>
      <c r="F10" s="24">
        <v>1194</v>
      </c>
      <c r="G10" s="24"/>
      <c r="H10" s="24"/>
      <c r="I10" s="24"/>
    </row>
    <row r="11" spans="1:9" s="1" customFormat="1" ht="14.1" customHeight="1" x14ac:dyDescent="0.2">
      <c r="A11" s="10">
        <v>200071058</v>
      </c>
      <c r="B11" s="19" t="s">
        <v>173</v>
      </c>
      <c r="C11" s="24">
        <v>215</v>
      </c>
      <c r="D11" s="24">
        <v>186</v>
      </c>
      <c r="E11" s="24">
        <v>21</v>
      </c>
      <c r="F11" s="24">
        <v>8</v>
      </c>
      <c r="G11" s="24"/>
      <c r="H11" s="24"/>
      <c r="I11" s="24"/>
    </row>
    <row r="12" spans="1:9" s="1" customFormat="1" ht="14.1" customHeight="1" x14ac:dyDescent="0.2">
      <c r="A12" s="1">
        <v>200066553</v>
      </c>
      <c r="B12" s="7" t="s">
        <v>172</v>
      </c>
      <c r="C12" s="4">
        <v>18</v>
      </c>
      <c r="D12" s="4">
        <v>14</v>
      </c>
      <c r="E12" s="4">
        <v>2</v>
      </c>
      <c r="F12" s="4">
        <v>2</v>
      </c>
      <c r="G12" s="4"/>
      <c r="H12" s="4"/>
      <c r="I12" s="4"/>
    </row>
    <row r="13" spans="1:9" s="1" customFormat="1" ht="14.1" customHeight="1" x14ac:dyDescent="0.2">
      <c r="A13" s="1">
        <v>200066355</v>
      </c>
      <c r="B13" s="17" t="s">
        <v>170</v>
      </c>
      <c r="C13" s="25">
        <v>4708</v>
      </c>
      <c r="D13" s="25">
        <v>3999</v>
      </c>
      <c r="E13" s="25">
        <v>568</v>
      </c>
      <c r="F13" s="25">
        <v>141</v>
      </c>
      <c r="G13" s="25"/>
      <c r="H13" s="25"/>
      <c r="I13" s="25"/>
    </row>
    <row r="14" spans="1:9" s="1" customFormat="1" ht="18.2" customHeight="1" x14ac:dyDescent="0.2">
      <c r="A14" s="1">
        <v>200066348</v>
      </c>
      <c r="B14" s="7" t="s">
        <v>171</v>
      </c>
      <c r="C14" s="26">
        <v>57</v>
      </c>
      <c r="D14" s="26">
        <v>53</v>
      </c>
      <c r="E14" s="26">
        <v>3</v>
      </c>
      <c r="F14" s="25">
        <v>1</v>
      </c>
      <c r="G14" s="25"/>
      <c r="H14" s="25"/>
      <c r="I14" s="25"/>
    </row>
    <row r="15" spans="1:9" s="1" customFormat="1" ht="22.7" customHeight="1" x14ac:dyDescent="0.2">
      <c r="A15" s="13">
        <v>200042653</v>
      </c>
      <c r="B15" s="22" t="s">
        <v>169</v>
      </c>
      <c r="C15" s="4">
        <v>122</v>
      </c>
      <c r="D15" s="4">
        <v>106</v>
      </c>
      <c r="E15" s="4">
        <v>14</v>
      </c>
      <c r="F15" s="4">
        <v>2</v>
      </c>
      <c r="G15" s="4"/>
      <c r="H15" s="4"/>
      <c r="I15" s="4"/>
    </row>
    <row r="16" spans="1:9" s="1" customFormat="1" ht="14.1" customHeight="1" x14ac:dyDescent="0.2">
      <c r="A16" s="8">
        <v>200042646</v>
      </c>
      <c r="B16" s="16" t="s">
        <v>168</v>
      </c>
      <c r="C16" s="23">
        <v>200</v>
      </c>
      <c r="D16" s="23">
        <v>161</v>
      </c>
      <c r="E16" s="23">
        <v>35</v>
      </c>
      <c r="F16" s="23">
        <v>4</v>
      </c>
      <c r="G16" s="23"/>
      <c r="H16" s="23"/>
      <c r="I16" s="23"/>
    </row>
    <row r="17" spans="1:9" s="1" customFormat="1" ht="14.1" customHeight="1" x14ac:dyDescent="0.2">
      <c r="A17" s="8">
        <v>200022986</v>
      </c>
      <c r="B17" s="16" t="s">
        <v>167</v>
      </c>
      <c r="C17" s="23">
        <v>603</v>
      </c>
      <c r="D17" s="23">
        <v>561</v>
      </c>
      <c r="E17" s="23">
        <v>33</v>
      </c>
      <c r="F17" s="23">
        <v>9</v>
      </c>
      <c r="G17" s="23"/>
      <c r="H17" s="23"/>
      <c r="I17" s="23"/>
    </row>
    <row r="18" spans="1:9" s="1" customFormat="1" ht="14.1" customHeight="1" x14ac:dyDescent="0.2">
      <c r="A18" s="8">
        <v>200017341</v>
      </c>
      <c r="B18" s="16" t="s">
        <v>166</v>
      </c>
      <c r="C18" s="23">
        <v>168</v>
      </c>
      <c r="D18" s="23">
        <v>134</v>
      </c>
      <c r="E18" s="23">
        <v>26</v>
      </c>
      <c r="F18" s="23">
        <v>8</v>
      </c>
      <c r="G18" s="23"/>
      <c r="H18" s="23"/>
      <c r="I18" s="23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B19" sqref="B19:Q19"/>
    </sheetView>
  </sheetViews>
  <sheetFormatPr baseColWidth="10" defaultColWidth="9.140625" defaultRowHeight="12.75" x14ac:dyDescent="0.2"/>
  <cols>
    <col min="1" max="1" width="10.140625" customWidth="1"/>
    <col min="2" max="2" width="26.140625" customWidth="1"/>
    <col min="3" max="5" width="10.140625" customWidth="1"/>
    <col min="6" max="6" width="10" customWidth="1"/>
    <col min="7" max="7" width="10.140625" customWidth="1"/>
    <col min="8" max="8" width="10" customWidth="1"/>
    <col min="9" max="13" width="10.140625" customWidth="1"/>
    <col min="14" max="14" width="10" customWidth="1"/>
  </cols>
  <sheetData>
    <row r="1" spans="1:14" s="1" customFormat="1" ht="14.1" customHeight="1" x14ac:dyDescent="0.2">
      <c r="A1" s="9" t="s">
        <v>0</v>
      </c>
      <c r="B1" s="18" t="s">
        <v>1</v>
      </c>
      <c r="C1" s="2" t="s">
        <v>2</v>
      </c>
      <c r="D1" s="2" t="s">
        <v>32</v>
      </c>
      <c r="E1" s="2" t="s">
        <v>33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39</v>
      </c>
      <c r="L1" s="2" t="s">
        <v>40</v>
      </c>
      <c r="M1" s="2" t="s">
        <v>26</v>
      </c>
      <c r="N1" s="2" t="s">
        <v>27</v>
      </c>
    </row>
    <row r="2" spans="1:14" s="1" customFormat="1" ht="14.1" customHeight="1" x14ac:dyDescent="0.2">
      <c r="A2" s="15" t="s">
        <v>179</v>
      </c>
      <c r="B2" s="17" t="s">
        <v>178</v>
      </c>
      <c r="C2" s="25">
        <v>2006</v>
      </c>
      <c r="D2" s="29">
        <v>2.2861415752741774</v>
      </c>
      <c r="E2" s="25">
        <v>834</v>
      </c>
      <c r="F2" s="25">
        <v>482</v>
      </c>
      <c r="G2" s="25">
        <v>304</v>
      </c>
      <c r="H2" s="25">
        <v>194</v>
      </c>
      <c r="I2" s="25">
        <v>111</v>
      </c>
      <c r="J2" s="25">
        <v>49</v>
      </c>
      <c r="K2" s="25">
        <v>20</v>
      </c>
      <c r="L2" s="25">
        <v>12</v>
      </c>
      <c r="M2" s="25"/>
      <c r="N2" s="25"/>
    </row>
    <row r="3" spans="1:14" s="1" customFormat="1" ht="18.2" customHeight="1" x14ac:dyDescent="0.2">
      <c r="A3" s="15" t="s">
        <v>181</v>
      </c>
      <c r="B3" s="7" t="s">
        <v>180</v>
      </c>
      <c r="C3" s="26">
        <v>4537</v>
      </c>
      <c r="D3" s="30">
        <v>2.5349349790610534</v>
      </c>
      <c r="E3" s="26">
        <v>1674</v>
      </c>
      <c r="F3" s="26">
        <v>1008</v>
      </c>
      <c r="G3" s="25">
        <v>701</v>
      </c>
      <c r="H3" s="25">
        <v>503</v>
      </c>
      <c r="I3" s="25">
        <v>364</v>
      </c>
      <c r="J3" s="25">
        <v>192</v>
      </c>
      <c r="K3" s="25">
        <v>65</v>
      </c>
      <c r="L3" s="25">
        <v>30</v>
      </c>
      <c r="M3" s="25"/>
      <c r="N3" s="25"/>
    </row>
    <row r="4" spans="1:14" s="1" customFormat="1" ht="22.7" customHeight="1" x14ac:dyDescent="0.2">
      <c r="A4" s="13">
        <v>243400736</v>
      </c>
      <c r="B4" s="22" t="s">
        <v>183</v>
      </c>
      <c r="C4" s="4">
        <v>160</v>
      </c>
      <c r="D4" s="5">
        <v>2.1375000000000002</v>
      </c>
      <c r="E4" s="4">
        <v>75</v>
      </c>
      <c r="F4" s="4">
        <v>39</v>
      </c>
      <c r="G4" s="4">
        <v>17</v>
      </c>
      <c r="H4" s="4">
        <v>15</v>
      </c>
      <c r="I4" s="4">
        <v>9</v>
      </c>
      <c r="J4" s="4">
        <v>3</v>
      </c>
      <c r="K4" s="4">
        <v>1</v>
      </c>
      <c r="L4" s="4">
        <v>1</v>
      </c>
      <c r="M4" s="4"/>
      <c r="N4" s="4"/>
    </row>
    <row r="5" spans="1:14" s="1" customFormat="1" ht="14.1" customHeight="1" x14ac:dyDescent="0.2">
      <c r="A5" s="8">
        <v>243400694</v>
      </c>
      <c r="B5" s="16" t="s">
        <v>182</v>
      </c>
      <c r="C5" s="23">
        <v>525</v>
      </c>
      <c r="D5" s="27">
        <v>2.3790476190476189</v>
      </c>
      <c r="E5" s="23">
        <v>199</v>
      </c>
      <c r="F5" s="23">
        <v>131</v>
      </c>
      <c r="G5" s="23">
        <v>87</v>
      </c>
      <c r="H5" s="23">
        <v>55</v>
      </c>
      <c r="I5" s="23">
        <v>34</v>
      </c>
      <c r="J5" s="23">
        <v>8</v>
      </c>
      <c r="K5" s="23">
        <v>5</v>
      </c>
      <c r="L5" s="23">
        <v>6</v>
      </c>
      <c r="M5" s="23"/>
      <c r="N5" s="23"/>
    </row>
    <row r="6" spans="1:14" s="1" customFormat="1" ht="14.1" customHeight="1" x14ac:dyDescent="0.2">
      <c r="A6" s="8">
        <v>243400520</v>
      </c>
      <c r="B6" s="16" t="s">
        <v>184</v>
      </c>
      <c r="C6" s="23">
        <v>1429</v>
      </c>
      <c r="D6" s="27">
        <v>2.6578026592022392</v>
      </c>
      <c r="E6" s="23">
        <v>481</v>
      </c>
      <c r="F6" s="23">
        <v>312</v>
      </c>
      <c r="G6" s="23">
        <v>222</v>
      </c>
      <c r="H6" s="23">
        <v>169</v>
      </c>
      <c r="I6" s="23">
        <v>162</v>
      </c>
      <c r="J6" s="23">
        <v>61</v>
      </c>
      <c r="K6" s="23">
        <v>12</v>
      </c>
      <c r="L6" s="23">
        <v>10</v>
      </c>
      <c r="M6" s="23"/>
      <c r="N6" s="23"/>
    </row>
    <row r="7" spans="1:14" s="1" customFormat="1" ht="14.1" customHeight="1" x14ac:dyDescent="0.2">
      <c r="A7" s="8">
        <v>243400488</v>
      </c>
      <c r="B7" s="16" t="s">
        <v>177</v>
      </c>
      <c r="C7" s="23">
        <v>436</v>
      </c>
      <c r="D7" s="27">
        <v>2.2133027522935782</v>
      </c>
      <c r="E7" s="23">
        <v>169</v>
      </c>
      <c r="F7" s="23">
        <v>127</v>
      </c>
      <c r="G7" s="23">
        <v>63</v>
      </c>
      <c r="H7" s="23">
        <v>48</v>
      </c>
      <c r="I7" s="23">
        <v>18</v>
      </c>
      <c r="J7" s="23">
        <v>7</v>
      </c>
      <c r="K7" s="23">
        <v>3</v>
      </c>
      <c r="L7" s="23">
        <v>1</v>
      </c>
      <c r="M7" s="23"/>
      <c r="N7" s="23"/>
    </row>
    <row r="8" spans="1:14" s="1" customFormat="1" ht="14.1" customHeight="1" x14ac:dyDescent="0.2">
      <c r="A8" s="8">
        <v>243400470</v>
      </c>
      <c r="B8" s="16" t="s">
        <v>176</v>
      </c>
      <c r="C8" s="23">
        <v>1482</v>
      </c>
      <c r="D8" s="27">
        <v>2.003373819163293</v>
      </c>
      <c r="E8" s="23">
        <v>712</v>
      </c>
      <c r="F8" s="23">
        <v>347</v>
      </c>
      <c r="G8" s="23">
        <v>236</v>
      </c>
      <c r="H8" s="23">
        <v>111</v>
      </c>
      <c r="I8" s="23">
        <v>53</v>
      </c>
      <c r="J8" s="23">
        <v>18</v>
      </c>
      <c r="K8" s="23">
        <v>3</v>
      </c>
      <c r="L8" s="23">
        <v>2</v>
      </c>
      <c r="M8" s="23"/>
      <c r="N8" s="23"/>
    </row>
    <row r="9" spans="1:14" s="1" customFormat="1" ht="14.1" customHeight="1" x14ac:dyDescent="0.2">
      <c r="A9" s="10">
        <v>243400355</v>
      </c>
      <c r="B9" s="19" t="s">
        <v>175</v>
      </c>
      <c r="C9" s="24">
        <v>562</v>
      </c>
      <c r="D9" s="28">
        <v>2.185053380782918</v>
      </c>
      <c r="E9" s="24">
        <v>259</v>
      </c>
      <c r="F9" s="24">
        <v>112</v>
      </c>
      <c r="G9" s="24">
        <v>94</v>
      </c>
      <c r="H9" s="24">
        <v>47</v>
      </c>
      <c r="I9" s="24">
        <v>34</v>
      </c>
      <c r="J9" s="24">
        <v>9</v>
      </c>
      <c r="K9" s="24">
        <v>5</v>
      </c>
      <c r="L9" s="24">
        <v>2</v>
      </c>
      <c r="M9" s="24"/>
      <c r="N9" s="24"/>
    </row>
    <row r="10" spans="1:14" s="1" customFormat="1" ht="14.1" customHeight="1" x14ac:dyDescent="0.2">
      <c r="A10" s="10">
        <v>243400017</v>
      </c>
      <c r="B10" s="19" t="s">
        <v>174</v>
      </c>
      <c r="C10" s="24">
        <v>25746</v>
      </c>
      <c r="D10" s="28">
        <v>2.4213470053600559</v>
      </c>
      <c r="E10" s="24">
        <v>10850</v>
      </c>
      <c r="F10" s="24">
        <v>5243</v>
      </c>
      <c r="G10" s="24">
        <v>3366</v>
      </c>
      <c r="H10" s="24">
        <v>2852</v>
      </c>
      <c r="I10" s="24">
        <v>2018</v>
      </c>
      <c r="J10" s="24">
        <v>956</v>
      </c>
      <c r="K10" s="24">
        <v>265</v>
      </c>
      <c r="L10" s="24">
        <v>196</v>
      </c>
      <c r="M10" s="24"/>
      <c r="N10" s="24"/>
    </row>
    <row r="11" spans="1:14" s="1" customFormat="1" ht="14.1" customHeight="1" x14ac:dyDescent="0.2">
      <c r="A11" s="1">
        <v>200071058</v>
      </c>
      <c r="B11" s="7" t="s">
        <v>173</v>
      </c>
      <c r="C11" s="4">
        <v>215</v>
      </c>
      <c r="D11" s="5">
        <v>2.1581395348837211</v>
      </c>
      <c r="E11" s="4">
        <v>99</v>
      </c>
      <c r="F11" s="4">
        <v>47</v>
      </c>
      <c r="G11" s="4">
        <v>28</v>
      </c>
      <c r="H11" s="4">
        <v>25</v>
      </c>
      <c r="I11" s="4">
        <v>13</v>
      </c>
      <c r="J11" s="4">
        <v>1</v>
      </c>
      <c r="K11" s="4"/>
      <c r="L11" s="4">
        <v>2</v>
      </c>
      <c r="M11" s="4"/>
      <c r="N11" s="4"/>
    </row>
    <row r="12" spans="1:14" s="1" customFormat="1" ht="14.1" customHeight="1" x14ac:dyDescent="0.2">
      <c r="A12" s="1">
        <v>200066553</v>
      </c>
      <c r="B12" s="17" t="s">
        <v>172</v>
      </c>
      <c r="C12" s="25">
        <v>18</v>
      </c>
      <c r="D12" s="29">
        <v>1.5555555555555556</v>
      </c>
      <c r="E12" s="25">
        <v>12</v>
      </c>
      <c r="F12" s="25">
        <v>3</v>
      </c>
      <c r="G12" s="25">
        <v>2</v>
      </c>
      <c r="H12" s="25">
        <v>1</v>
      </c>
      <c r="I12" s="25"/>
      <c r="J12" s="25"/>
      <c r="K12" s="25"/>
      <c r="L12" s="25"/>
      <c r="M12" s="25"/>
      <c r="N12" s="25"/>
    </row>
    <row r="13" spans="1:14" s="1" customFormat="1" ht="18.2" customHeight="1" x14ac:dyDescent="0.2">
      <c r="A13" s="1">
        <v>200066355</v>
      </c>
      <c r="B13" s="7" t="s">
        <v>170</v>
      </c>
      <c r="C13" s="26">
        <v>4708</v>
      </c>
      <c r="D13" s="30">
        <v>2.2317332200509772</v>
      </c>
      <c r="E13" s="26">
        <v>2081</v>
      </c>
      <c r="F13" s="26">
        <v>1064</v>
      </c>
      <c r="G13" s="25">
        <v>662</v>
      </c>
      <c r="H13" s="25">
        <v>453</v>
      </c>
      <c r="I13" s="25">
        <v>298</v>
      </c>
      <c r="J13" s="25">
        <v>99</v>
      </c>
      <c r="K13" s="25">
        <v>28</v>
      </c>
      <c r="L13" s="25">
        <v>23</v>
      </c>
      <c r="M13" s="25"/>
      <c r="N13" s="25"/>
    </row>
    <row r="14" spans="1:14" s="1" customFormat="1" ht="22.7" customHeight="1" x14ac:dyDescent="0.2">
      <c r="A14" s="13">
        <v>200066348</v>
      </c>
      <c r="B14" s="22" t="s">
        <v>171</v>
      </c>
      <c r="C14" s="4">
        <v>57</v>
      </c>
      <c r="D14" s="5">
        <v>2.0877192982456139</v>
      </c>
      <c r="E14" s="4">
        <v>27</v>
      </c>
      <c r="F14" s="4">
        <v>16</v>
      </c>
      <c r="G14" s="4">
        <v>7</v>
      </c>
      <c r="H14" s="4">
        <v>2</v>
      </c>
      <c r="I14" s="4">
        <v>2</v>
      </c>
      <c r="J14" s="4">
        <v>2</v>
      </c>
      <c r="K14" s="4"/>
      <c r="L14" s="4">
        <v>1</v>
      </c>
      <c r="M14" s="4"/>
      <c r="N14" s="4"/>
    </row>
    <row r="15" spans="1:14" s="1" customFormat="1" ht="14.1" customHeight="1" x14ac:dyDescent="0.2">
      <c r="A15" s="8">
        <v>200042653</v>
      </c>
      <c r="B15" s="16" t="s">
        <v>169</v>
      </c>
      <c r="C15" s="23">
        <v>122</v>
      </c>
      <c r="D15" s="27">
        <v>2.3278688524590163</v>
      </c>
      <c r="E15" s="23">
        <v>42</v>
      </c>
      <c r="F15" s="23">
        <v>34</v>
      </c>
      <c r="G15" s="23">
        <v>24</v>
      </c>
      <c r="H15" s="23">
        <v>11</v>
      </c>
      <c r="I15" s="23">
        <v>8</v>
      </c>
      <c r="J15" s="23">
        <v>3</v>
      </c>
      <c r="K15" s="23"/>
      <c r="L15" s="23"/>
      <c r="M15" s="23"/>
      <c r="N15" s="23"/>
    </row>
    <row r="16" spans="1:14" s="1" customFormat="1" ht="14.1" customHeight="1" x14ac:dyDescent="0.2">
      <c r="A16" s="8">
        <v>200042646</v>
      </c>
      <c r="B16" s="16" t="s">
        <v>168</v>
      </c>
      <c r="C16" s="23">
        <v>200</v>
      </c>
      <c r="D16" s="27">
        <v>1.885</v>
      </c>
      <c r="E16" s="23">
        <v>112</v>
      </c>
      <c r="F16" s="23">
        <v>39</v>
      </c>
      <c r="G16" s="23">
        <v>31</v>
      </c>
      <c r="H16" s="23">
        <v>11</v>
      </c>
      <c r="I16" s="23">
        <v>3</v>
      </c>
      <c r="J16" s="23">
        <v>3</v>
      </c>
      <c r="K16" s="23"/>
      <c r="L16" s="23">
        <v>1</v>
      </c>
      <c r="M16" s="23"/>
      <c r="N16" s="23"/>
    </row>
    <row r="17" spans="1:14" s="1" customFormat="1" ht="14.1" customHeight="1" x14ac:dyDescent="0.2">
      <c r="A17" s="8">
        <v>200022986</v>
      </c>
      <c r="B17" s="16" t="s">
        <v>167</v>
      </c>
      <c r="C17" s="23">
        <v>603</v>
      </c>
      <c r="D17" s="27">
        <v>2.240464344941957</v>
      </c>
      <c r="E17" s="23">
        <v>240</v>
      </c>
      <c r="F17" s="23">
        <v>151</v>
      </c>
      <c r="G17" s="23">
        <v>109</v>
      </c>
      <c r="H17" s="23">
        <v>61</v>
      </c>
      <c r="I17" s="23">
        <v>27</v>
      </c>
      <c r="J17" s="23">
        <v>6</v>
      </c>
      <c r="K17" s="23">
        <v>6</v>
      </c>
      <c r="L17" s="23">
        <v>3</v>
      </c>
      <c r="M17" s="23"/>
      <c r="N17" s="23"/>
    </row>
    <row r="18" spans="1:14" s="1" customFormat="1" ht="14.1" customHeight="1" x14ac:dyDescent="0.2">
      <c r="A18" s="10">
        <v>200017341</v>
      </c>
      <c r="B18" s="19" t="s">
        <v>166</v>
      </c>
      <c r="C18" s="24">
        <v>168</v>
      </c>
      <c r="D18" s="28">
        <v>2.5416666666666665</v>
      </c>
      <c r="E18" s="24">
        <v>63</v>
      </c>
      <c r="F18" s="24">
        <v>43</v>
      </c>
      <c r="G18" s="24">
        <v>14</v>
      </c>
      <c r="H18" s="24">
        <v>19</v>
      </c>
      <c r="I18" s="24">
        <v>19</v>
      </c>
      <c r="J18" s="24">
        <v>7</v>
      </c>
      <c r="K18" s="24">
        <v>1</v>
      </c>
      <c r="L18" s="24">
        <v>2</v>
      </c>
      <c r="M18" s="24"/>
      <c r="N18" s="24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Fiche_EPCI</vt:lpstr>
      <vt:lpstr>Fiche_EPCI_Resume</vt:lpstr>
      <vt:lpstr>RevenuMens_menage</vt:lpstr>
      <vt:lpstr>Revenu_UC</vt:lpstr>
      <vt:lpstr>Statut_prof</vt:lpstr>
      <vt:lpstr>Ancienneté</vt:lpstr>
      <vt:lpstr>Age_demandeur</vt:lpstr>
      <vt:lpstr>Natio_demandeur</vt:lpstr>
      <vt:lpstr>Taille_menage</vt:lpstr>
      <vt:lpstr>Situ_familiale</vt:lpstr>
      <vt:lpstr>Compo_famille</vt:lpstr>
      <vt:lpstr>PosPlaf_HLM</vt:lpstr>
      <vt:lpstr>Logt_actuel</vt:lpstr>
      <vt:lpstr>Motif_demande</vt:lpstr>
      <vt:lpstr>ABC_123</vt:lpstr>
      <vt:lpstr>Grp_revenu</vt:lpstr>
      <vt:lpstr>Typologie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 Deborah</dc:creator>
  <cp:lastModifiedBy>Soria Deborah</cp:lastModifiedBy>
  <dcterms:created xsi:type="dcterms:W3CDTF">2021-10-12T10:46:48Z</dcterms:created>
  <dcterms:modified xsi:type="dcterms:W3CDTF">2021-11-18T16:09:19Z</dcterms:modified>
</cp:coreProperties>
</file>