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Fiche_intercommunale_2021" sheetId="8" r:id="rId1"/>
    <sheet name="EPCI" sheetId="10" state="hidden" r:id="rId2"/>
    <sheet name="ADM" sheetId="11" state="hidden" r:id="rId3"/>
    <sheet name="URBA" sheetId="12" state="hidden" r:id="rId4"/>
    <sheet name="DEMO" sheetId="2" state="hidden" r:id="rId5"/>
    <sheet name="LOGEMENTS" sheetId="3" state="hidden" r:id="rId6"/>
    <sheet name="SRU" sheetId="18" state="hidden" r:id="rId7"/>
    <sheet name="PPU" sheetId="4" state="hidden" r:id="rId8"/>
    <sheet name="PPUe" sheetId="19" state="hidden" r:id="rId9"/>
    <sheet name="HLM" sheetId="9" state="hidden" r:id="rId10"/>
    <sheet name="HLMe" sheetId="20" state="hidden" r:id="rId11"/>
    <sheet name="PPR" sheetId="5" state="hidden" r:id="rId12"/>
    <sheet name="PPRe" sheetId="21" state="hidden" r:id="rId13"/>
  </sheets>
  <definedNames>
    <definedName name="_xlnm.Print_Area" localSheetId="0">Fiche_intercommunale_2021!$A$1:$H$79</definedName>
  </definedNames>
  <calcPr calcId="145621" iterateDelta="1E-4"/>
  <pivotCaches>
    <pivotCache cacheId="0" r:id="rId14"/>
    <pivotCache cacheId="1" r:id="rId15"/>
    <pivotCache cacheId="2" r:id="rId16"/>
    <pivotCache cacheId="3" r:id="rId17"/>
  </pivotCaches>
</workbook>
</file>

<file path=xl/calcChain.xml><?xml version="1.0" encoding="utf-8"?>
<calcChain xmlns="http://schemas.openxmlformats.org/spreadsheetml/2006/main">
  <c r="A32" i="8" l="1"/>
  <c r="H4" i="8" l="1"/>
  <c r="G4" i="8"/>
  <c r="B4" i="8"/>
  <c r="E7" i="8"/>
  <c r="A69" i="8"/>
  <c r="H40" i="8"/>
  <c r="H39" i="8"/>
  <c r="E35" i="8"/>
  <c r="H35" i="8"/>
  <c r="G35" i="8"/>
  <c r="F35" i="8"/>
  <c r="C70" i="8"/>
  <c r="H70" i="8" s="1"/>
  <c r="C71" i="8"/>
  <c r="H71" i="8" s="1"/>
  <c r="C72" i="8"/>
  <c r="H72" i="8" s="1"/>
  <c r="H78" i="8"/>
  <c r="G78" i="8"/>
  <c r="F78" i="8"/>
  <c r="E78" i="8"/>
  <c r="D78" i="8"/>
  <c r="C78" i="8"/>
  <c r="B78" i="8"/>
  <c r="H77" i="8"/>
  <c r="G77" i="8"/>
  <c r="F77" i="8"/>
  <c r="E77" i="8"/>
  <c r="D77" i="8"/>
  <c r="C77" i="8"/>
  <c r="B77" i="8"/>
  <c r="H76" i="8"/>
  <c r="G76" i="8"/>
  <c r="F76" i="8"/>
  <c r="E76" i="8"/>
  <c r="D76" i="8"/>
  <c r="C76" i="8"/>
  <c r="B76" i="8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" i="5"/>
  <c r="B3" i="9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0" i="8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39" i="8"/>
  <c r="E64" i="8"/>
  <c r="E62" i="8"/>
  <c r="E61" i="8"/>
  <c r="E60" i="8"/>
  <c r="E59" i="8"/>
  <c r="E58" i="8"/>
  <c r="E56" i="8"/>
  <c r="E55" i="8"/>
  <c r="E54" i="8"/>
  <c r="E53" i="8"/>
  <c r="E52" i="8"/>
  <c r="E51" i="8"/>
  <c r="E50" i="8"/>
  <c r="H47" i="8"/>
  <c r="H46" i="8"/>
  <c r="H45" i="8"/>
  <c r="H44" i="8"/>
  <c r="B41" i="8" l="1"/>
  <c r="H42" i="8"/>
  <c r="H41" i="8"/>
  <c r="H34" i="8" l="1"/>
  <c r="G34" i="8"/>
  <c r="F34" i="8"/>
  <c r="E34" i="8"/>
  <c r="H33" i="8"/>
  <c r="G33" i="8"/>
  <c r="F33" i="8"/>
  <c r="E33" i="8"/>
  <c r="C343" i="4" l="1"/>
  <c r="C342" i="4"/>
  <c r="C341" i="4"/>
  <c r="C47" i="4"/>
  <c r="C340" i="4"/>
  <c r="C339" i="4"/>
  <c r="C338" i="4"/>
  <c r="C46" i="4"/>
  <c r="C45" i="4"/>
  <c r="C337" i="4"/>
  <c r="C336" i="4"/>
  <c r="C335" i="4"/>
  <c r="C44" i="4"/>
  <c r="C334" i="4"/>
  <c r="C333" i="4"/>
  <c r="C332" i="4"/>
  <c r="C43" i="4"/>
  <c r="C331" i="4"/>
  <c r="C330" i="4"/>
  <c r="C3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42" i="4"/>
  <c r="C41" i="4"/>
  <c r="C40" i="4"/>
  <c r="C14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39" i="4"/>
  <c r="C281" i="4"/>
  <c r="C280" i="4"/>
  <c r="C279" i="4"/>
  <c r="C278" i="4"/>
  <c r="C277" i="4"/>
  <c r="C276" i="4"/>
  <c r="C275" i="4"/>
  <c r="C274" i="4"/>
  <c r="C273" i="4"/>
  <c r="C272" i="4"/>
  <c r="C13" i="4"/>
  <c r="C271" i="4"/>
  <c r="C270" i="4"/>
  <c r="C269" i="4"/>
  <c r="C12" i="4"/>
  <c r="C268" i="4"/>
  <c r="C267" i="4"/>
  <c r="C266" i="4"/>
  <c r="C265" i="4"/>
  <c r="C264" i="4"/>
  <c r="C263" i="4"/>
  <c r="C262" i="4"/>
  <c r="C38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37" i="4"/>
  <c r="C232" i="4"/>
  <c r="C231" i="4"/>
  <c r="C230" i="4"/>
  <c r="C11" i="4"/>
  <c r="C229" i="4"/>
  <c r="C228" i="4"/>
  <c r="C227" i="4"/>
  <c r="C226" i="4"/>
  <c r="C225" i="4"/>
  <c r="C224" i="4"/>
  <c r="C223" i="4"/>
  <c r="C222" i="4"/>
  <c r="C221" i="4"/>
  <c r="C220" i="4"/>
  <c r="C36" i="4"/>
  <c r="C219" i="4"/>
  <c r="C218" i="4"/>
  <c r="C35" i="4"/>
  <c r="C34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33" i="4"/>
  <c r="C192" i="4"/>
  <c r="C191" i="4"/>
  <c r="C32" i="4"/>
  <c r="C190" i="4"/>
  <c r="C189" i="4"/>
  <c r="C188" i="4"/>
  <c r="C187" i="4"/>
  <c r="C186" i="4"/>
  <c r="C185" i="4"/>
  <c r="C31" i="4"/>
  <c r="C184" i="4"/>
  <c r="C183" i="4"/>
  <c r="C182" i="4"/>
  <c r="C181" i="4"/>
  <c r="C30" i="4"/>
  <c r="C180" i="4"/>
  <c r="C179" i="4"/>
  <c r="C178" i="4"/>
  <c r="C177" i="4"/>
  <c r="C176" i="4"/>
  <c r="C2" i="4"/>
  <c r="C10" i="4"/>
  <c r="C175" i="4"/>
  <c r="C9" i="4"/>
  <c r="C174" i="4"/>
  <c r="C29" i="4"/>
  <c r="C28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27" i="4"/>
  <c r="C158" i="4"/>
  <c r="C157" i="4"/>
  <c r="C156" i="4"/>
  <c r="C155" i="4"/>
  <c r="C154" i="4"/>
  <c r="C26" i="4"/>
  <c r="C153" i="4"/>
  <c r="C152" i="4"/>
  <c r="C25" i="4"/>
  <c r="C151" i="4"/>
  <c r="C150" i="4"/>
  <c r="C149" i="4"/>
  <c r="C24" i="4"/>
  <c r="C148" i="4"/>
  <c r="C147" i="4"/>
  <c r="C8" i="4"/>
  <c r="C146" i="4"/>
  <c r="C145" i="4"/>
  <c r="C144" i="4"/>
  <c r="C143" i="4"/>
  <c r="C7" i="4"/>
  <c r="C142" i="4"/>
  <c r="C141" i="4"/>
  <c r="C140" i="4"/>
  <c r="C139" i="4"/>
  <c r="C138" i="4"/>
  <c r="C137" i="4"/>
  <c r="C23" i="4"/>
  <c r="C136" i="4"/>
  <c r="C135" i="4"/>
  <c r="C134" i="4"/>
  <c r="C133" i="4"/>
  <c r="C132" i="4"/>
  <c r="C6" i="4"/>
  <c r="C131" i="4"/>
  <c r="C130" i="4"/>
  <c r="C129" i="4"/>
  <c r="C128" i="4"/>
  <c r="C22" i="4"/>
  <c r="C127" i="4"/>
  <c r="C21" i="4"/>
  <c r="C126" i="4"/>
  <c r="C125" i="4"/>
  <c r="C124" i="4"/>
  <c r="C123" i="4"/>
  <c r="C122" i="4"/>
  <c r="C121" i="4"/>
  <c r="C120" i="4"/>
  <c r="C119" i="4"/>
  <c r="C118" i="4"/>
  <c r="C117" i="4"/>
  <c r="C20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19" i="4"/>
  <c r="C18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17" i="4"/>
  <c r="C16" i="4"/>
  <c r="C74" i="4"/>
  <c r="C73" i="4"/>
  <c r="C72" i="4"/>
  <c r="C71" i="4"/>
  <c r="C70" i="4"/>
  <c r="C69" i="4"/>
  <c r="C68" i="4"/>
  <c r="C15" i="4"/>
  <c r="C5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" i="4"/>
  <c r="C49" i="4"/>
  <c r="C48" i="4"/>
  <c r="A26" i="8"/>
  <c r="E28" i="8"/>
  <c r="E27" i="8"/>
  <c r="E26" i="8"/>
  <c r="H20" i="8"/>
  <c r="G20" i="8"/>
  <c r="H16" i="8" l="1"/>
  <c r="H15" i="8"/>
  <c r="H14" i="8"/>
  <c r="D21" i="8"/>
  <c r="D19" i="8"/>
  <c r="D18" i="8"/>
  <c r="D17" i="8"/>
  <c r="D16" i="8"/>
  <c r="D15" i="8"/>
  <c r="D10" i="8"/>
  <c r="M2" i="12"/>
  <c r="G10" i="8"/>
  <c r="G11" i="8"/>
  <c r="D11" i="8"/>
  <c r="B11" i="8"/>
  <c r="B10" i="8"/>
  <c r="B8" i="8"/>
  <c r="E8" i="8"/>
  <c r="B7" i="8"/>
  <c r="D4" i="8" l="1"/>
  <c r="C1" i="8"/>
  <c r="D72" i="8" l="1"/>
  <c r="D71" i="8"/>
  <c r="D70" i="8"/>
  <c r="K343" i="4" l="1"/>
  <c r="J343" i="4"/>
  <c r="E79" i="8" l="1"/>
  <c r="F79" i="8"/>
  <c r="G79" i="8"/>
  <c r="C79" i="8"/>
  <c r="D79" i="8"/>
  <c r="B79" i="8"/>
  <c r="H79" i="8"/>
  <c r="E63" i="8"/>
  <c r="E57" i="8"/>
  <c r="E65" i="8" l="1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Z345" i="5"/>
  <c r="AA345" i="5"/>
  <c r="AB345" i="5"/>
  <c r="AC345" i="5"/>
</calcChain>
</file>

<file path=xl/comments1.xml><?xml version="1.0" encoding="utf-8"?>
<comments xmlns="http://schemas.openxmlformats.org/spreadsheetml/2006/main">
  <authors>
    <author>Auteur</author>
  </authors>
  <commentList>
    <comment ref="A2" authorId="0">
      <text>
        <r>
          <rPr>
            <sz val="8"/>
            <color indexed="81"/>
            <rFont val="Tahoma"/>
            <family val="2"/>
          </rPr>
          <t>les données concernent a totalité de l'intercommunalité dans le cas où elle est inter-départementale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l</t>
        </r>
        <r>
          <rPr>
            <sz val="8"/>
            <color indexed="81"/>
            <rFont val="Tahoma"/>
            <family val="2"/>
          </rPr>
          <t>es données concernent a totalité de l'intercommunalité dans le cas où elle est inter-départementale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l</t>
        </r>
        <r>
          <rPr>
            <sz val="8"/>
            <color indexed="81"/>
            <rFont val="Tahoma"/>
            <family val="2"/>
          </rPr>
          <t>es données concernent a totalité de l'intercommunalité dans le cas où elle est inter-départementale</t>
        </r>
      </text>
    </comment>
    <comment ref="A23" authorId="0">
      <text>
        <r>
          <rPr>
            <sz val="8"/>
            <color indexed="81"/>
            <rFont val="Tahoma"/>
            <family val="2"/>
          </rPr>
          <t>les données concernent a totalité de l'intercommunalité dans le cas où elle est inter-départementale</t>
        </r>
      </text>
    </comment>
    <comment ref="A30" authorId="0">
      <text>
        <r>
          <rPr>
            <sz val="8"/>
            <color indexed="81"/>
            <rFont val="Tahoma"/>
            <family val="2"/>
          </rPr>
          <t>les données ne concernent que la partie héraultaise  dans le cas où elle est inter-départementale</t>
        </r>
      </text>
    </comment>
    <comment ref="A67" authorId="0">
      <text>
        <r>
          <rPr>
            <sz val="8"/>
            <color indexed="81"/>
            <rFont val="Tahoma"/>
            <family val="2"/>
          </rPr>
          <t>les données ne concernent que la partie héraultaise  dans le cas où elle est inter-départementale</t>
        </r>
      </text>
    </comment>
  </commentList>
</comments>
</file>

<file path=xl/sharedStrings.xml><?xml version="1.0" encoding="utf-8"?>
<sst xmlns="http://schemas.openxmlformats.org/spreadsheetml/2006/main" count="9171" uniqueCount="1392">
  <si>
    <t>code</t>
  </si>
  <si>
    <t>commune</t>
  </si>
  <si>
    <t>AAV</t>
  </si>
  <si>
    <t>cat AAV</t>
  </si>
  <si>
    <t>maire</t>
  </si>
  <si>
    <t>CHOP</t>
  </si>
  <si>
    <t>coordination territoriale</t>
  </si>
  <si>
    <t>Agence technique</t>
  </si>
  <si>
    <t>CANTON</t>
  </si>
  <si>
    <t>Binôme</t>
  </si>
  <si>
    <t>CODE EPCI</t>
  </si>
  <si>
    <t>EPCI</t>
  </si>
  <si>
    <t>PAYS</t>
  </si>
  <si>
    <t>convention de gestion DIA avec CD34</t>
  </si>
  <si>
    <t>Adhésion CAUE</t>
  </si>
  <si>
    <t>SCOT</t>
  </si>
  <si>
    <t>PLH</t>
  </si>
  <si>
    <t>LT même commune</t>
  </si>
  <si>
    <t>Population municipale 2019</t>
  </si>
  <si>
    <t>Population municipale 1999</t>
  </si>
  <si>
    <t>Population municipale 1990</t>
  </si>
  <si>
    <t>Évol. annuelle moy. de la population 2013 - 2019 (en %) 2019</t>
  </si>
  <si>
    <t>Évol. annuelle moy. de la pop. due au solde apparent entrées/sorties 2013-2018</t>
  </si>
  <si>
    <t>Évol. annuelle moy. de la population 2013-2018</t>
  </si>
  <si>
    <t>Logements 2018</t>
  </si>
  <si>
    <t>Résidences principales 2018</t>
  </si>
  <si>
    <t>Part des logements vacants dans le total des logements 2018</t>
  </si>
  <si>
    <t>Part des rés. secondaires (y compris les logements occasionnels) dans le total des logements 2018</t>
  </si>
  <si>
    <t>Part des rés. principales dans le total des logements 2018</t>
  </si>
  <si>
    <t>arthab0920</t>
  </si>
  <si>
    <t>artcom0920</t>
  </si>
  <si>
    <t>menhab1217</t>
  </si>
  <si>
    <t>artpop1217</t>
  </si>
  <si>
    <t>LLS SRU</t>
  </si>
  <si>
    <t>LLS SRU manquants</t>
  </si>
  <si>
    <t>Libelle SRU</t>
  </si>
  <si>
    <t>Taux SRU</t>
  </si>
  <si>
    <t>Nombre LLS</t>
  </si>
  <si>
    <t>Press. T1</t>
  </si>
  <si>
    <t>Press. T2</t>
  </si>
  <si>
    <t>Press. T3</t>
  </si>
  <si>
    <t>Press. T4</t>
  </si>
  <si>
    <t>Dem LLS T1</t>
  </si>
  <si>
    <t>Dem LLS T2</t>
  </si>
  <si>
    <t>Dem LLS T3</t>
  </si>
  <si>
    <t>Dem LLS T4</t>
  </si>
  <si>
    <t>LLS 1 pièce</t>
  </si>
  <si>
    <t>LLS 2 pièce2</t>
  </si>
  <si>
    <t>LLS 3 pièce</t>
  </si>
  <si>
    <t>LLS 4 pièce</t>
  </si>
  <si>
    <t>LLS 5 pièce +</t>
  </si>
  <si>
    <t>taux de vacance dans le parc (en %)</t>
  </si>
  <si>
    <t>taux de mobilité dans le parc (en %)</t>
  </si>
  <si>
    <t>Taux LLS</t>
  </si>
  <si>
    <t xml:space="preserve">Demandes 2019 </t>
  </si>
  <si>
    <t>Attributions 2019</t>
  </si>
  <si>
    <t>Demandes 2020</t>
  </si>
  <si>
    <t>Attributions 2020</t>
  </si>
  <si>
    <t>PLAI Jeunes</t>
  </si>
  <si>
    <t>PLAI Ménages</t>
  </si>
  <si>
    <t>PLAI hébergementPublics maison relais ou res. d'accueil</t>
  </si>
  <si>
    <t>PLAI Autres publics spécifiques</t>
  </si>
  <si>
    <t>PLAI adapté Autres publics spécifiques</t>
  </si>
  <si>
    <t>PLAI adapté Ménages</t>
  </si>
  <si>
    <t>PLAI adapté hébergement</t>
  </si>
  <si>
    <t>LI Etudiants</t>
  </si>
  <si>
    <t>LI Jeunes</t>
  </si>
  <si>
    <t>LI Ménages</t>
  </si>
  <si>
    <t>LI Autres publics spécifiques</t>
  </si>
  <si>
    <t>PLUS Ménages</t>
  </si>
  <si>
    <t>PSLA Ménages</t>
  </si>
  <si>
    <t>Zonage 123</t>
  </si>
  <si>
    <t>Zonage ABC</t>
  </si>
  <si>
    <t>PPPI</t>
  </si>
  <si>
    <t>LCI actifs</t>
  </si>
  <si>
    <t>LCS actifs</t>
  </si>
  <si>
    <t>LCTS actifs</t>
  </si>
  <si>
    <t>LI2016</t>
  </si>
  <si>
    <t>LCS2016</t>
  </si>
  <si>
    <t>LCTS2016</t>
  </si>
  <si>
    <t>LI2017</t>
  </si>
  <si>
    <t>LCS2017</t>
  </si>
  <si>
    <t>LCTS2017</t>
  </si>
  <si>
    <t>LI2018</t>
  </si>
  <si>
    <t>LCS2018</t>
  </si>
  <si>
    <t>LCTS2018</t>
  </si>
  <si>
    <t>LI2019</t>
  </si>
  <si>
    <t>LCS2019</t>
  </si>
  <si>
    <t>LCTS2019</t>
  </si>
  <si>
    <t>LI2020</t>
  </si>
  <si>
    <t>LCS2020</t>
  </si>
  <si>
    <t>LCTS2020</t>
  </si>
  <si>
    <t>LI2020_Sanstravaux</t>
  </si>
  <si>
    <t>LCS2020_Sanstravaux</t>
  </si>
  <si>
    <t>LCTS2020_Sanstravaux</t>
  </si>
  <si>
    <t>LI2020_travaux</t>
  </si>
  <si>
    <t>LCS2020_travaux</t>
  </si>
  <si>
    <t>LCTS2020_travaux</t>
  </si>
  <si>
    <t>nombre de demandes pour 1 attribution 2019</t>
  </si>
  <si>
    <t>nombre de demandes pour 1 attribution 2020</t>
  </si>
  <si>
    <t>Abeilhan</t>
  </si>
  <si>
    <t>Béziers</t>
  </si>
  <si>
    <t>Pierre-Jean ROUGEOT</t>
  </si>
  <si>
    <t>Eric Andanson</t>
  </si>
  <si>
    <t>Haut-Languedoc - Ouest Hérault</t>
  </si>
  <si>
    <t>Biterrois</t>
  </si>
  <si>
    <t>Canton 21 - Pézenas</t>
  </si>
  <si>
    <t>Vincent GAUDY et Julie GARCIN SAUDO</t>
  </si>
  <si>
    <t>CC les Avant-Monts</t>
  </si>
  <si>
    <t xml:space="preserve"> </t>
  </si>
  <si>
    <t>oui</t>
  </si>
  <si>
    <t>OUI</t>
  </si>
  <si>
    <t>ODH via PHLV</t>
  </si>
  <si>
    <t>commune non SRU</t>
  </si>
  <si>
    <t>pas d'attrib.</t>
  </si>
  <si>
    <t>C</t>
  </si>
  <si>
    <t>4,40</t>
  </si>
  <si>
    <t>2,57</t>
  </si>
  <si>
    <t>Adissan</t>
  </si>
  <si>
    <t>Commune hors attraction des villes</t>
  </si>
  <si>
    <t>Patrick LARIO</t>
  </si>
  <si>
    <t>Elisabeth Pourcel</t>
  </si>
  <si>
    <t>Thau - Plaine d'Hérault</t>
  </si>
  <si>
    <t>Canton 14 - Mèze</t>
  </si>
  <si>
    <t>Audrey IMBERT et Christophe MORGO</t>
  </si>
  <si>
    <t>CA Hérault-Méditerranée</t>
  </si>
  <si>
    <t>2,55</t>
  </si>
  <si>
    <t>12,00</t>
  </si>
  <si>
    <t>Agde</t>
  </si>
  <si>
    <t>Gilles D'ETTORE</t>
  </si>
  <si>
    <t>Canton 01 - Agde</t>
  </si>
  <si>
    <t>Sébastien FREY et Marie-Christine FABRE DE ROUSSAC</t>
  </si>
  <si>
    <t>NON</t>
  </si>
  <si>
    <t>SRU - carencée</t>
  </si>
  <si>
    <t>8,72%</t>
  </si>
  <si>
    <t>B1</t>
  </si>
  <si>
    <t>14,25</t>
  </si>
  <si>
    <t>8,24</t>
  </si>
  <si>
    <t>Agel</t>
  </si>
  <si>
    <t>Patrick CABROL</t>
  </si>
  <si>
    <t>Vignobles d'Ouest</t>
  </si>
  <si>
    <t>Canton 24 - Saint-Pons-de-Thomières</t>
  </si>
  <si>
    <t>Marie-Pierre PONS et GABRIEL BLASCO</t>
  </si>
  <si>
    <t>CC Du Minervois au Caroux en Haut-Languedoc</t>
  </si>
  <si>
    <t>HAUT LANGUEDOC ET VIGNOBLE</t>
  </si>
  <si>
    <t>pas d'attribution</t>
  </si>
  <si>
    <t>Agonès</t>
  </si>
  <si>
    <t>Montpellier</t>
  </si>
  <si>
    <t>Patrick TRICOU</t>
  </si>
  <si>
    <t xml:space="preserve">Florence Coulon </t>
  </si>
  <si>
    <t>Coeur d'Hérault - Pic Saint-Loup</t>
  </si>
  <si>
    <t>Pic Saint-Loup</t>
  </si>
  <si>
    <t>Canton 11 - Lodève</t>
  </si>
  <si>
    <t>Jacques RIGAUD et Gaëlle LEVEQUE</t>
  </si>
  <si>
    <t>CC des Cévennes Gangeoises et Suménoises</t>
  </si>
  <si>
    <t>AIGOUAL CEVENNES</t>
  </si>
  <si>
    <t>non</t>
  </si>
  <si>
    <t>Aigne</t>
  </si>
  <si>
    <t>Yves FRAISSE</t>
  </si>
  <si>
    <t>Aigues-Vives</t>
  </si>
  <si>
    <t>Jean-Pierre BARTHES</t>
  </si>
  <si>
    <t>Les Aires</t>
  </si>
  <si>
    <t>Bédarieux</t>
  </si>
  <si>
    <t>Michel GRANIER</t>
  </si>
  <si>
    <t>Mont d'Orb</t>
  </si>
  <si>
    <t>Canton 06 - Clermont-l'Hérault</t>
  </si>
  <si>
    <t>Jean-Luc FALIP et Marie PASSIEUX</t>
  </si>
  <si>
    <t>CC Grand Orb en Languedoc</t>
  </si>
  <si>
    <t>5,00</t>
  </si>
  <si>
    <t>Alignan-du-Vent</t>
  </si>
  <si>
    <t>Christophe PASTOR</t>
  </si>
  <si>
    <t>CA de Béziers-Méditerranée</t>
  </si>
  <si>
    <t>10,00</t>
  </si>
  <si>
    <t>Aniane</t>
  </si>
  <si>
    <t>Philippe SALASC</t>
  </si>
  <si>
    <t>Coeur d'Hérault</t>
  </si>
  <si>
    <t>Canton 09 - Gignac</t>
  </si>
  <si>
    <t>Jean-François SOTO et Nicole MORERE</t>
  </si>
  <si>
    <t>CC Vallée de l'hérault</t>
  </si>
  <si>
    <t>LARZAC COEUR D'HERAULT</t>
  </si>
  <si>
    <t>ODH</t>
  </si>
  <si>
    <t>12,33</t>
  </si>
  <si>
    <t>24,50</t>
  </si>
  <si>
    <t>Arboras</t>
  </si>
  <si>
    <t>Marie-Françoise NACHEZ</t>
  </si>
  <si>
    <t>Argelliers</t>
  </si>
  <si>
    <t>Pierre AMALOU</t>
  </si>
  <si>
    <t>Aspiran</t>
  </si>
  <si>
    <t>Olivier BERNARDI</t>
  </si>
  <si>
    <t>CC du Clermontais</t>
  </si>
  <si>
    <t>Assas</t>
  </si>
  <si>
    <t>Jacques GRAU</t>
  </si>
  <si>
    <t>Canton 23 - Saint-Gély-du-Fesc</t>
  </si>
  <si>
    <t>Laurence CRISTOL et Kléber MESQUIDA</t>
  </si>
  <si>
    <t>CC du Grand Pic Saint-Loup</t>
  </si>
  <si>
    <t>A</t>
  </si>
  <si>
    <t>Assignan</t>
  </si>
  <si>
    <t>Rémy SOULIÉ</t>
  </si>
  <si>
    <t>CC Sud-Hérault</t>
  </si>
  <si>
    <t>Aumelas</t>
  </si>
  <si>
    <t>Ronny PONCÉ</t>
  </si>
  <si>
    <t>Aumes</t>
  </si>
  <si>
    <t>Pézenas</t>
  </si>
  <si>
    <t>Michel GUTTON</t>
  </si>
  <si>
    <t>Autignac</t>
  </si>
  <si>
    <t>Jean-Claude MARCHI</t>
  </si>
  <si>
    <t>Canton 05 - Cazouls-lès-Béziers</t>
  </si>
  <si>
    <t>Séverine SAUR et Philippe VIDAL</t>
  </si>
  <si>
    <t>Avène</t>
  </si>
  <si>
    <t>Serge CASTAN</t>
  </si>
  <si>
    <t>Azillanet</t>
  </si>
  <si>
    <t>Alexandre DYE</t>
  </si>
  <si>
    <t>Babeau-Bouldoux</t>
  </si>
  <si>
    <t>Jérome ROGER</t>
  </si>
  <si>
    <t>Baillargues</t>
  </si>
  <si>
    <t>Jean-Luc MEISSONNIER</t>
  </si>
  <si>
    <t>Montpelliérain</t>
  </si>
  <si>
    <t>Métropole</t>
  </si>
  <si>
    <t>Canton 07 - Le Crès</t>
  </si>
  <si>
    <t xml:space="preserve">Yvon PELLET et Claudine VASSAS-MEJRI </t>
  </si>
  <si>
    <t>Montpellier Méditerranée Métropole</t>
  </si>
  <si>
    <t>ODH via OLL</t>
  </si>
  <si>
    <t>16,04%</t>
  </si>
  <si>
    <t>5,23</t>
  </si>
  <si>
    <t>6,30</t>
  </si>
  <si>
    <t>Balaruc-les-Bains</t>
  </si>
  <si>
    <t xml:space="preserve">Norbert CHAPLIN </t>
  </si>
  <si>
    <t>Etang de Thau</t>
  </si>
  <si>
    <t>Canton 08 - Frontignan</t>
  </si>
  <si>
    <t>Pierre BOULDOIRE et Sylvie PRADELLE</t>
  </si>
  <si>
    <t>Sète Agglopôle Méditerranée</t>
  </si>
  <si>
    <t>SRU</t>
  </si>
  <si>
    <t>12,53%</t>
  </si>
  <si>
    <t>11,18</t>
  </si>
  <si>
    <t>15,42</t>
  </si>
  <si>
    <t>Balaruc-le-Vieux</t>
  </si>
  <si>
    <t>Gérard CANOVAS</t>
  </si>
  <si>
    <t>25,33</t>
  </si>
  <si>
    <t>13,20</t>
  </si>
  <si>
    <t>Bassan</t>
  </si>
  <si>
    <t>Alain BIOLA</t>
  </si>
  <si>
    <t>Canton 04 - Béziers 3</t>
  </si>
  <si>
    <t>Nicole ZENON et Marie-Emmanuelle CAMOUS</t>
  </si>
  <si>
    <t>B2</t>
  </si>
  <si>
    <t>9,00</t>
  </si>
  <si>
    <t>17,00</t>
  </si>
  <si>
    <t>Beaufort</t>
  </si>
  <si>
    <t>Narbonne</t>
  </si>
  <si>
    <t>Claude PICHON</t>
  </si>
  <si>
    <t>Beaulieu</t>
  </si>
  <si>
    <t>Arnaud MOYNIER</t>
  </si>
  <si>
    <t>3,17</t>
  </si>
  <si>
    <t>5,29</t>
  </si>
  <si>
    <t>Francis BARSSE</t>
  </si>
  <si>
    <t>6,50</t>
  </si>
  <si>
    <t>Bélarga</t>
  </si>
  <si>
    <t>José MARTINEZ</t>
  </si>
  <si>
    <t>Berlou</t>
  </si>
  <si>
    <t>Christian LIGNON</t>
  </si>
  <si>
    <t>Haut Languedoc</t>
  </si>
  <si>
    <t>Bessan</t>
  </si>
  <si>
    <t>Stéphane PEPIN-BONET</t>
  </si>
  <si>
    <t>11,31%</t>
  </si>
  <si>
    <t>13,22</t>
  </si>
  <si>
    <t>1,77</t>
  </si>
  <si>
    <t>Robert MENARD</t>
  </si>
  <si>
    <t>Canton 03 - 04 - 05 Béziers 1 2 3</t>
  </si>
  <si>
    <t>21,92%</t>
  </si>
  <si>
    <t>1 053</t>
  </si>
  <si>
    <t>1 030</t>
  </si>
  <si>
    <t>4,60</t>
  </si>
  <si>
    <t>4,57</t>
  </si>
  <si>
    <t>Boisseron</t>
  </si>
  <si>
    <t>Loïc FATACCIOLI</t>
  </si>
  <si>
    <t>Petite Camargue</t>
  </si>
  <si>
    <t>Canton 12 - Lunel</t>
  </si>
  <si>
    <t>JEROME BOISSON et PAULETTE GOUGEON</t>
  </si>
  <si>
    <t>CC du Pays de Lunel</t>
  </si>
  <si>
    <t>Boisset</t>
  </si>
  <si>
    <t>Benoit MARSAUX</t>
  </si>
  <si>
    <t>La Boissière</t>
  </si>
  <si>
    <t>Jean-Claude CROS</t>
  </si>
  <si>
    <t>Le Bosc</t>
  </si>
  <si>
    <t>Jérôme VALAT</t>
  </si>
  <si>
    <t>CC Lodévois et Larzac</t>
  </si>
  <si>
    <t>Boujan-sur-Libron</t>
  </si>
  <si>
    <t>Gérard ABELLA</t>
  </si>
  <si>
    <t>4,39</t>
  </si>
  <si>
    <t>14,86</t>
  </si>
  <si>
    <t>Le Bousquet-d'Orb</t>
  </si>
  <si>
    <t>Yvan CASSILI</t>
  </si>
  <si>
    <t>0,88</t>
  </si>
  <si>
    <t>2,00</t>
  </si>
  <si>
    <t>Bouzigues</t>
  </si>
  <si>
    <t>Cédric RAJA</t>
  </si>
  <si>
    <t>Brenas</t>
  </si>
  <si>
    <t>Michel VELLAS</t>
  </si>
  <si>
    <t>Brignac</t>
  </si>
  <si>
    <t>Marina BOURREL</t>
  </si>
  <si>
    <t>1,00</t>
  </si>
  <si>
    <t>Brissac</t>
  </si>
  <si>
    <t>Jean-Claude RODRIGUEZ</t>
  </si>
  <si>
    <t>Buzignargues</t>
  </si>
  <si>
    <t>Agnès ROUVIERE-ESPOSITO</t>
  </si>
  <si>
    <t>2,50</t>
  </si>
  <si>
    <t>Cabrerolles</t>
  </si>
  <si>
    <t>Séverine SAUR</t>
  </si>
  <si>
    <t>Cabrières</t>
  </si>
  <si>
    <t>Myriam GAIRAUD</t>
  </si>
  <si>
    <t>Cambon-et-Salvergues</t>
  </si>
  <si>
    <t>Marie CASARES</t>
  </si>
  <si>
    <t>CC des Monts de Lacaune et de la Montagne du Haut Languedoc</t>
  </si>
  <si>
    <t>Campagnan</t>
  </si>
  <si>
    <t>Jean-Marc ISURE</t>
  </si>
  <si>
    <t>Campagne</t>
  </si>
  <si>
    <t>Jacques GRAVEGEAL</t>
  </si>
  <si>
    <t>Camplong</t>
  </si>
  <si>
    <t>Bernard COSTE</t>
  </si>
  <si>
    <t>Candillargues</t>
  </si>
  <si>
    <t>Anthony MELIN</t>
  </si>
  <si>
    <t>Canton 13 - Mauguio</t>
  </si>
  <si>
    <t>Brice BONNEFOUX et PATRICIA MOULLIN-TRAFFORT</t>
  </si>
  <si>
    <t>CA du Pays de l'Or</t>
  </si>
  <si>
    <t>25,50</t>
  </si>
  <si>
    <t>1,69</t>
  </si>
  <si>
    <t>Canet</t>
  </si>
  <si>
    <t>Claude REVEL</t>
  </si>
  <si>
    <t>39,00</t>
  </si>
  <si>
    <t>Capestang</t>
  </si>
  <si>
    <t>Pierre POLARD</t>
  </si>
  <si>
    <t>8,50</t>
  </si>
  <si>
    <t>26,00</t>
  </si>
  <si>
    <t>Carlencas-et-Levas</t>
  </si>
  <si>
    <t>Sylvie TOLUAFÉ</t>
  </si>
  <si>
    <t>Cassagnoles</t>
  </si>
  <si>
    <t>Harmonie GONZALEZ</t>
  </si>
  <si>
    <t>Castanet-le-Haut</t>
  </si>
  <si>
    <t>Max ALLIES</t>
  </si>
  <si>
    <t>0,50</t>
  </si>
  <si>
    <t>Castelnau-de-Guers</t>
  </si>
  <si>
    <t>Didier MICHEL</t>
  </si>
  <si>
    <t>Castelnau-le-Lez</t>
  </si>
  <si>
    <t>Frédéric LAFFORGUE</t>
  </si>
  <si>
    <t>Canton 20 - Montpellier - Castelnau-le-Lez</t>
  </si>
  <si>
    <t>JACQUELINE MARKOVIC et Renaud CALVAT</t>
  </si>
  <si>
    <t>18,45%</t>
  </si>
  <si>
    <t>5,24</t>
  </si>
  <si>
    <t>4,50</t>
  </si>
  <si>
    <t>Castries</t>
  </si>
  <si>
    <t xml:space="preserve">Claudine VASSAS-MEJRI </t>
  </si>
  <si>
    <t>13,17%</t>
  </si>
  <si>
    <t>6,64</t>
  </si>
  <si>
    <t>4,02</t>
  </si>
  <si>
    <t>La Caunette</t>
  </si>
  <si>
    <t>Max FABRE</t>
  </si>
  <si>
    <t>Causse-de-la-Selle</t>
  </si>
  <si>
    <t>Philippe DOUTREMEPUICH</t>
  </si>
  <si>
    <t>Causses-et-Veyran</t>
  </si>
  <si>
    <t>Gérard BARO</t>
  </si>
  <si>
    <t>Caussiniojouls</t>
  </si>
  <si>
    <t>Thierry ROQUE</t>
  </si>
  <si>
    <t>Caux</t>
  </si>
  <si>
    <t>Jean-Charles DESPLAN</t>
  </si>
  <si>
    <t>Le Caylar</t>
  </si>
  <si>
    <t>Jean TRINQUIER</t>
  </si>
  <si>
    <t>1,50</t>
  </si>
  <si>
    <t>3,00</t>
  </si>
  <si>
    <t>Cazedarnes</t>
  </si>
  <si>
    <t>Thierry CAZALS</t>
  </si>
  <si>
    <t>Cazevieille</t>
  </si>
  <si>
    <t>Jean VALLON</t>
  </si>
  <si>
    <t>Cazilhac</t>
  </si>
  <si>
    <t>Pierre COMPAN</t>
  </si>
  <si>
    <t>Cazouls-d'Hérault</t>
  </si>
  <si>
    <t>Henry SANCHEZ</t>
  </si>
  <si>
    <t>Cazouls-lès-Béziers</t>
  </si>
  <si>
    <t>Philippe VIDAL</t>
  </si>
  <si>
    <t>CC la Domitienne</t>
  </si>
  <si>
    <t>12,50</t>
  </si>
  <si>
    <t>46,00</t>
  </si>
  <si>
    <t>Cébazan</t>
  </si>
  <si>
    <t>Marc FIDEL</t>
  </si>
  <si>
    <t>0,00</t>
  </si>
  <si>
    <t>Ceilhes-et-Rocozels</t>
  </si>
  <si>
    <t xml:space="preserve">Fabien SOULAGE </t>
  </si>
  <si>
    <t>Celles</t>
  </si>
  <si>
    <t>Joëlle GOUDAL</t>
  </si>
  <si>
    <t>Cers</t>
  </si>
  <si>
    <t>Didier BRESSON</t>
  </si>
  <si>
    <t>13,00</t>
  </si>
  <si>
    <t>8,33</t>
  </si>
  <si>
    <t>Cessenon-sur-Orb</t>
  </si>
  <si>
    <t>Marie-Pierre PONS</t>
  </si>
  <si>
    <t>8,67</t>
  </si>
  <si>
    <t>Cesseras</t>
  </si>
  <si>
    <t>Magali GUIRAUD</t>
  </si>
  <si>
    <t>Ceyras</t>
  </si>
  <si>
    <t>Jean-Claude LACROIX</t>
  </si>
  <si>
    <t>Clapiers</t>
  </si>
  <si>
    <t>Eric PENSO</t>
  </si>
  <si>
    <t>19,36%</t>
  </si>
  <si>
    <t>2,07</t>
  </si>
  <si>
    <t>8,07</t>
  </si>
  <si>
    <t>Claret</t>
  </si>
  <si>
    <t>Philippe TOURRIER</t>
  </si>
  <si>
    <t>8,00</t>
  </si>
  <si>
    <t>Clermont-l'Hérault</t>
  </si>
  <si>
    <t>Gérard BESSIERE</t>
  </si>
  <si>
    <t>5,83</t>
  </si>
  <si>
    <t>3,81</t>
  </si>
  <si>
    <t>Colombières-sur-Orb</t>
  </si>
  <si>
    <t>Thérèse SALAVIN</t>
  </si>
  <si>
    <t>Colombiers</t>
  </si>
  <si>
    <t>Alain CARALP</t>
  </si>
  <si>
    <t>10,86</t>
  </si>
  <si>
    <t>17,80</t>
  </si>
  <si>
    <t>Combaillaux</t>
  </si>
  <si>
    <t>Daniel FLOUTARD</t>
  </si>
  <si>
    <t>1,20</t>
  </si>
  <si>
    <t>Combes</t>
  </si>
  <si>
    <t>Marie-Line GERONIMO</t>
  </si>
  <si>
    <t>Corneilhan</t>
  </si>
  <si>
    <t>Bertrand GELLY</t>
  </si>
  <si>
    <t>Canton 03 - Béziers 2</t>
  </si>
  <si>
    <t>GILLES SACAZE et JEAN-LOUIS RESPAUD</t>
  </si>
  <si>
    <t>Coulobres</t>
  </si>
  <si>
    <t>Gérard BOYER</t>
  </si>
  <si>
    <t>Courniou</t>
  </si>
  <si>
    <t>Catherine SONZOGNI</t>
  </si>
  <si>
    <t>Cournonsec</t>
  </si>
  <si>
    <t xml:space="preserve">Régine ILLAIRE </t>
  </si>
  <si>
    <t>Canton 22 - Pignan</t>
  </si>
  <si>
    <t>Jacques MARTINIER et Michelle CASSAR</t>
  </si>
  <si>
    <t>6,82</t>
  </si>
  <si>
    <t>8,71</t>
  </si>
  <si>
    <t>Cournonterral</t>
  </si>
  <si>
    <t>William ARS</t>
  </si>
  <si>
    <t>10,10%</t>
  </si>
  <si>
    <t>11,50</t>
  </si>
  <si>
    <t>2,45</t>
  </si>
  <si>
    <t>Creissan</t>
  </si>
  <si>
    <t>Laurent BRUNET</t>
  </si>
  <si>
    <t>4,00</t>
  </si>
  <si>
    <t>Le Crès</t>
  </si>
  <si>
    <t>Stéphane CHAMPAY</t>
  </si>
  <si>
    <t>14,16%</t>
  </si>
  <si>
    <t>6,62</t>
  </si>
  <si>
    <t>8,03</t>
  </si>
  <si>
    <t>Le Cros</t>
  </si>
  <si>
    <t>Lodève</t>
  </si>
  <si>
    <t>Alain VIALA</t>
  </si>
  <si>
    <t>Cruzy</t>
  </si>
  <si>
    <t>Rémy AFFRE</t>
  </si>
  <si>
    <t>Dio-et-Valquières</t>
  </si>
  <si>
    <t>Yvelise DESCAMPS</t>
  </si>
  <si>
    <t>Espondeilhan</t>
  </si>
  <si>
    <t>Christophe LLOP</t>
  </si>
  <si>
    <t>Fabrègues</t>
  </si>
  <si>
    <t>Jacques MARTINIER</t>
  </si>
  <si>
    <t>5,96%</t>
  </si>
  <si>
    <t>18,14</t>
  </si>
  <si>
    <t>Faugères</t>
  </si>
  <si>
    <t>Philippe BOUCHE</t>
  </si>
  <si>
    <t>Félines-Minervois</t>
  </si>
  <si>
    <t>Anne CABRIÉ</t>
  </si>
  <si>
    <t>Ferrals-les-Montagnes</t>
  </si>
  <si>
    <t>Annie ESPEL</t>
  </si>
  <si>
    <t>Ferrières-les-Verreries</t>
  </si>
  <si>
    <t>Christian BOURRIAGUE</t>
  </si>
  <si>
    <t>Ferrières-Poussarou</t>
  </si>
  <si>
    <t>Pascale PEYTAVI</t>
  </si>
  <si>
    <t>Florensac</t>
  </si>
  <si>
    <t>Vincent GAUDY</t>
  </si>
  <si>
    <t>9,79%</t>
  </si>
  <si>
    <t>12,63</t>
  </si>
  <si>
    <t>6,19</t>
  </si>
  <si>
    <t>Fontanès</t>
  </si>
  <si>
    <t>Geneviève CASTANIÉ</t>
  </si>
  <si>
    <t>Fontès</t>
  </si>
  <si>
    <t>Olivier BRUN</t>
  </si>
  <si>
    <t>Fos</t>
  </si>
  <si>
    <t>Francis VABRE</t>
  </si>
  <si>
    <t>Fouzilhon</t>
  </si>
  <si>
    <t>Lydie COUDERC</t>
  </si>
  <si>
    <t>Fozières</t>
  </si>
  <si>
    <t>Michel COMBES</t>
  </si>
  <si>
    <t>Fraisse-sur-Agout</t>
  </si>
  <si>
    <t>Jim RONEZ</t>
  </si>
  <si>
    <t>Frontignan</t>
  </si>
  <si>
    <t>Michel ARROUY</t>
  </si>
  <si>
    <t>17,22%</t>
  </si>
  <si>
    <t>7,51</t>
  </si>
  <si>
    <t>6,72</t>
  </si>
  <si>
    <t>Gabian</t>
  </si>
  <si>
    <t>Francis BOUTES</t>
  </si>
  <si>
    <t>3,50</t>
  </si>
  <si>
    <t>Galargues</t>
  </si>
  <si>
    <t>Denis DEVRIENDT</t>
  </si>
  <si>
    <t>Ganges</t>
  </si>
  <si>
    <t>Michel FRATISSIER</t>
  </si>
  <si>
    <t>4,58</t>
  </si>
  <si>
    <t>14,60</t>
  </si>
  <si>
    <t>Garrigues</t>
  </si>
  <si>
    <t>Laurent RICARD</t>
  </si>
  <si>
    <t>Gigean</t>
  </si>
  <si>
    <t>Marcel STOECKLIN</t>
  </si>
  <si>
    <t>9,85%</t>
  </si>
  <si>
    <t>5,57</t>
  </si>
  <si>
    <t>10,57</t>
  </si>
  <si>
    <t>Gignac</t>
  </si>
  <si>
    <t>Jean-François SOTO</t>
  </si>
  <si>
    <t>10,29</t>
  </si>
  <si>
    <t>Gorniès</t>
  </si>
  <si>
    <t>Joël POVREAU</t>
  </si>
  <si>
    <t>Grabels</t>
  </si>
  <si>
    <t>René REVOL</t>
  </si>
  <si>
    <t>Canton 15 - Montpellier 1</t>
  </si>
  <si>
    <t>RACHID EL MOUDDEN et MANAR BOUIDA</t>
  </si>
  <si>
    <t>17,10%</t>
  </si>
  <si>
    <t>15,00</t>
  </si>
  <si>
    <t>6,60</t>
  </si>
  <si>
    <t>Graissessac</t>
  </si>
  <si>
    <t>Mariette COMBES</t>
  </si>
  <si>
    <t>Guzargues</t>
  </si>
  <si>
    <t>Pierre ANTOINE</t>
  </si>
  <si>
    <t>Hérépian</t>
  </si>
  <si>
    <t xml:space="preserve">Jean-Louis LAFAURIE </t>
  </si>
  <si>
    <t>3,67</t>
  </si>
  <si>
    <t>Jacou</t>
  </si>
  <si>
    <t>Renaud CALVAT</t>
  </si>
  <si>
    <t>17,94%</t>
  </si>
  <si>
    <t>11,83</t>
  </si>
  <si>
    <t>16,47</t>
  </si>
  <si>
    <t>Joncels</t>
  </si>
  <si>
    <t>Rémy PAILLES</t>
  </si>
  <si>
    <t>Jonquières</t>
  </si>
  <si>
    <t>Bernard GOUZIN</t>
  </si>
  <si>
    <t>Juvignac</t>
  </si>
  <si>
    <t xml:space="preserve">Jean-Luc SAVY </t>
  </si>
  <si>
    <t>Canton 10 - Lattes</t>
  </si>
  <si>
    <t>Cyril MEUNIER et Patricia WEBER</t>
  </si>
  <si>
    <t>15,15%</t>
  </si>
  <si>
    <t>6,53</t>
  </si>
  <si>
    <t>5,65</t>
  </si>
  <si>
    <t>Lacoste</t>
  </si>
  <si>
    <t>Marc CARAYON</t>
  </si>
  <si>
    <t>Lagamas</t>
  </si>
  <si>
    <t>Christian VILOING</t>
  </si>
  <si>
    <t>Lamalou-les-Bains</t>
  </si>
  <si>
    <t>Guillaume DALERY</t>
  </si>
  <si>
    <t>22,00</t>
  </si>
  <si>
    <t>9,50</t>
  </si>
  <si>
    <t>Lansargues</t>
  </si>
  <si>
    <t>Michel CARLIER</t>
  </si>
  <si>
    <t>7,00</t>
  </si>
  <si>
    <t>9,80</t>
  </si>
  <si>
    <t>Laroque</t>
  </si>
  <si>
    <t>Pierrick CIRIBINO</t>
  </si>
  <si>
    <t>Lattes</t>
  </si>
  <si>
    <t>Cyril MEUNIER</t>
  </si>
  <si>
    <t>11,27%</t>
  </si>
  <si>
    <t>17,10</t>
  </si>
  <si>
    <t>Laurens</t>
  </si>
  <si>
    <t>François ANGLADE</t>
  </si>
  <si>
    <t>Lauret</t>
  </si>
  <si>
    <t>Stéphane CATANIA</t>
  </si>
  <si>
    <t>Lauroux</t>
  </si>
  <si>
    <t>Jean-Paul PAILHOUX</t>
  </si>
  <si>
    <t>Lavalette</t>
  </si>
  <si>
    <t>Claire VAN DER HORST</t>
  </si>
  <si>
    <t>Lavérune</t>
  </si>
  <si>
    <t>Roger CAIZERGUES</t>
  </si>
  <si>
    <t>14,88</t>
  </si>
  <si>
    <t>22,20</t>
  </si>
  <si>
    <t>Lespignan</t>
  </si>
  <si>
    <t>Jean-François GUIBBERT</t>
  </si>
  <si>
    <t>Canton 02 - Béziers 1</t>
  </si>
  <si>
    <t>DENIS MARSALA et MARIE HIRTH</t>
  </si>
  <si>
    <t>4,45</t>
  </si>
  <si>
    <t>6,00</t>
  </si>
  <si>
    <t>Lézignan-la-Cèbe</t>
  </si>
  <si>
    <t>Rémi BOUYALA</t>
  </si>
  <si>
    <t>23,00</t>
  </si>
  <si>
    <t>Liausson</t>
  </si>
  <si>
    <t>Alain SOULAYROL</t>
  </si>
  <si>
    <t>Lieuran-Cabrières</t>
  </si>
  <si>
    <t>Jean-Philippe OLLIER</t>
  </si>
  <si>
    <t>Lieuran-lès-Béziers</t>
  </si>
  <si>
    <t>Robert GELY</t>
  </si>
  <si>
    <t>0,83</t>
  </si>
  <si>
    <t>Lignan-sur-Orb</t>
  </si>
  <si>
    <t>LE MAIRE</t>
  </si>
  <si>
    <t>23,50</t>
  </si>
  <si>
    <t>La Livinière</t>
  </si>
  <si>
    <t>Pierre-André PEDESSEAU</t>
  </si>
  <si>
    <t>Gaëlle LEVEQUE</t>
  </si>
  <si>
    <t>7,83</t>
  </si>
  <si>
    <t>Loupian</t>
  </si>
  <si>
    <t>Alain VIDAL</t>
  </si>
  <si>
    <t>37,00</t>
  </si>
  <si>
    <t>49,00</t>
  </si>
  <si>
    <t>Lunas</t>
  </si>
  <si>
    <t>Aurélien MANENC</t>
  </si>
  <si>
    <t>Lunel</t>
  </si>
  <si>
    <t>Pierre SOUJOL</t>
  </si>
  <si>
    <t>16,97%</t>
  </si>
  <si>
    <t>11,46</t>
  </si>
  <si>
    <t>Lunel-Viel</t>
  </si>
  <si>
    <t>Fabrice FENOY</t>
  </si>
  <si>
    <t>16,73%</t>
  </si>
  <si>
    <t>13,86</t>
  </si>
  <si>
    <t>2,64</t>
  </si>
  <si>
    <t>Magalas</t>
  </si>
  <si>
    <t>Jean-Pierre SIMO-CAZENAVE</t>
  </si>
  <si>
    <t>5,67</t>
  </si>
  <si>
    <t>Maraussan</t>
  </si>
  <si>
    <t>Serge PESCE</t>
  </si>
  <si>
    <t>10,70%</t>
  </si>
  <si>
    <t>9,73</t>
  </si>
  <si>
    <t>1,95</t>
  </si>
  <si>
    <t>Margon</t>
  </si>
  <si>
    <t>Jacques LIBRETTI</t>
  </si>
  <si>
    <t>3,33</t>
  </si>
  <si>
    <t>Marseillan</t>
  </si>
  <si>
    <t>Yves MICHEL</t>
  </si>
  <si>
    <t>7,59%</t>
  </si>
  <si>
    <t>8,57</t>
  </si>
  <si>
    <t>14,87</t>
  </si>
  <si>
    <t>Marsillargues</t>
  </si>
  <si>
    <t>Patrice SPEZIALE</t>
  </si>
  <si>
    <t>SRU - exemptée 2020-2022</t>
  </si>
  <si>
    <t>8,73%</t>
  </si>
  <si>
    <t>16,00</t>
  </si>
  <si>
    <t>9,56</t>
  </si>
  <si>
    <t>Mas-de-Londres</t>
  </si>
  <si>
    <t>Robert ARNAL</t>
  </si>
  <si>
    <t>Les Matelles</t>
  </si>
  <si>
    <t>Alain BARBE</t>
  </si>
  <si>
    <t>Mauguio</t>
  </si>
  <si>
    <t>Yvon BOURREL</t>
  </si>
  <si>
    <t>13,42</t>
  </si>
  <si>
    <t>Maureilhan</t>
  </si>
  <si>
    <t>Christian SEGUY</t>
  </si>
  <si>
    <t>8,80</t>
  </si>
  <si>
    <t>Mérifons</t>
  </si>
  <si>
    <t>Sophie COSTEAU</t>
  </si>
  <si>
    <t>Mèze</t>
  </si>
  <si>
    <t>Thierry BAËZA</t>
  </si>
  <si>
    <t>12,08%</t>
  </si>
  <si>
    <t>7,57</t>
  </si>
  <si>
    <t>8,52</t>
  </si>
  <si>
    <t>Minerve</t>
  </si>
  <si>
    <t>Didier VORDY</t>
  </si>
  <si>
    <t>Mireval</t>
  </si>
  <si>
    <t>Christophe DURAND</t>
  </si>
  <si>
    <t>11,25</t>
  </si>
  <si>
    <t>20,67</t>
  </si>
  <si>
    <t>Mons</t>
  </si>
  <si>
    <t>Arielle ESCURET</t>
  </si>
  <si>
    <t>Montady</t>
  </si>
  <si>
    <t>Alain CASTAN</t>
  </si>
  <si>
    <t>18,00</t>
  </si>
  <si>
    <t>2,75</t>
  </si>
  <si>
    <t>Montagnac</t>
  </si>
  <si>
    <t>Yann LlOPIS</t>
  </si>
  <si>
    <t>13,94%</t>
  </si>
  <si>
    <t>22,29</t>
  </si>
  <si>
    <t>2,11</t>
  </si>
  <si>
    <t>Montarnaud</t>
  </si>
  <si>
    <t>Jean-Pierre PUGENS</t>
  </si>
  <si>
    <t>5,19</t>
  </si>
  <si>
    <t>20,50</t>
  </si>
  <si>
    <t>Montaud</t>
  </si>
  <si>
    <t>Joël RAYMOND</t>
  </si>
  <si>
    <t>Montbazin</t>
  </si>
  <si>
    <t>Josian RIBES</t>
  </si>
  <si>
    <t>38,00</t>
  </si>
  <si>
    <t>Montblanc</t>
  </si>
  <si>
    <t>Claude ALLINGRI</t>
  </si>
  <si>
    <t>19,00</t>
  </si>
  <si>
    <t>Montels</t>
  </si>
  <si>
    <t>Olivier HENRY</t>
  </si>
  <si>
    <t>Montesquieu</t>
  </si>
  <si>
    <t>Francis CASTAN</t>
  </si>
  <si>
    <t>Montferrier-sur-Lez</t>
  </si>
  <si>
    <t>Brigitte DEVOISSELLE</t>
  </si>
  <si>
    <t>4,03%</t>
  </si>
  <si>
    <t>5,89</t>
  </si>
  <si>
    <t>16,33</t>
  </si>
  <si>
    <t>Montouliers</t>
  </si>
  <si>
    <t>Patricia TOULZE</t>
  </si>
  <si>
    <t>Montoulieu</t>
  </si>
  <si>
    <t>Guilhem CHAFIOL</t>
  </si>
  <si>
    <t>Michaël DELAFOSSE</t>
  </si>
  <si>
    <t>Canton 17 - 18 - 19 Montpellier 1 2 3</t>
  </si>
  <si>
    <t>24,08%</t>
  </si>
  <si>
    <t>2 231</t>
  </si>
  <si>
    <t>5 387</t>
  </si>
  <si>
    <t>4 337</t>
  </si>
  <si>
    <t>4 041</t>
  </si>
  <si>
    <t>7,80</t>
  </si>
  <si>
    <t>9,07</t>
  </si>
  <si>
    <t>Montpeyroux</t>
  </si>
  <si>
    <t>Claude CARCELLER</t>
  </si>
  <si>
    <t>Moulès-et-Baucels</t>
  </si>
  <si>
    <t>Daniel CELERIER</t>
  </si>
  <si>
    <t>Mourèze</t>
  </si>
  <si>
    <t>Serge DIDELET</t>
  </si>
  <si>
    <t>Mudaison</t>
  </si>
  <si>
    <t>Juan ORTEGA</t>
  </si>
  <si>
    <t>61,00</t>
  </si>
  <si>
    <t>16,50</t>
  </si>
  <si>
    <t>Murles</t>
  </si>
  <si>
    <t>Éric RIGUET</t>
  </si>
  <si>
    <t>Murviel-lès-Béziers</t>
  </si>
  <si>
    <t>Sylvain HAGER</t>
  </si>
  <si>
    <t>5,56</t>
  </si>
  <si>
    <t>14,33</t>
  </si>
  <si>
    <t>Murviel-lès-Montpellier</t>
  </si>
  <si>
    <t>Isabelle TOUZARD</t>
  </si>
  <si>
    <t>31,00</t>
  </si>
  <si>
    <t>Nébian</t>
  </si>
  <si>
    <t>Francis BARDEAU</t>
  </si>
  <si>
    <t>5,50</t>
  </si>
  <si>
    <t>Neffiès</t>
  </si>
  <si>
    <t>David ASTRUC</t>
  </si>
  <si>
    <t>Nézignan-l'Évêque</t>
  </si>
  <si>
    <t>Edgard SICARD</t>
  </si>
  <si>
    <t>2,43</t>
  </si>
  <si>
    <t>2,20</t>
  </si>
  <si>
    <t>Nissan-lez-Enserune</t>
  </si>
  <si>
    <t>Pierre CROS</t>
  </si>
  <si>
    <t>3,75</t>
  </si>
  <si>
    <t>Nizas</t>
  </si>
  <si>
    <t>Daniel RENAUD</t>
  </si>
  <si>
    <t>0,33</t>
  </si>
  <si>
    <t>Notre-Dame-de-Londres</t>
  </si>
  <si>
    <t>Romain KUSOSKY</t>
  </si>
  <si>
    <t>Octon</t>
  </si>
  <si>
    <t>Olargues</t>
  </si>
  <si>
    <t>Jean ARCAS</t>
  </si>
  <si>
    <t>Olmet-et-Villecun</t>
  </si>
  <si>
    <t>Christophe ROMO</t>
  </si>
  <si>
    <t>Olonzac</t>
  </si>
  <si>
    <t>Luc LOUIS</t>
  </si>
  <si>
    <t>Oupia</t>
  </si>
  <si>
    <t>Laurie GOMEZ</t>
  </si>
  <si>
    <t>Pailhès</t>
  </si>
  <si>
    <t>Robert SOUQUE</t>
  </si>
  <si>
    <t>Palavas-les-Flots</t>
  </si>
  <si>
    <t>Christian JEANJEAN</t>
  </si>
  <si>
    <t>30,73</t>
  </si>
  <si>
    <t>29,80</t>
  </si>
  <si>
    <t>Pardailhan</t>
  </si>
  <si>
    <t>Alain TAILHAN</t>
  </si>
  <si>
    <t>Paulhan</t>
  </si>
  <si>
    <t>Claude VALÉRO</t>
  </si>
  <si>
    <t>Pégairolles-de-Buèges</t>
  </si>
  <si>
    <t>Georges CAPUS</t>
  </si>
  <si>
    <t>Pégairolles-de-l'Escalette</t>
  </si>
  <si>
    <t>Frédéric ROIG</t>
  </si>
  <si>
    <t>Péret</t>
  </si>
  <si>
    <t>Isabelle SILHOL</t>
  </si>
  <si>
    <t>2,40</t>
  </si>
  <si>
    <t>Pérols</t>
  </si>
  <si>
    <t>Jean-Pierre RICO</t>
  </si>
  <si>
    <t>13,65%</t>
  </si>
  <si>
    <t>3,69</t>
  </si>
  <si>
    <t>83,75</t>
  </si>
  <si>
    <t>Armand RIVIERE</t>
  </si>
  <si>
    <t>20,88%</t>
  </si>
  <si>
    <t>5,14</t>
  </si>
  <si>
    <t>7,78</t>
  </si>
  <si>
    <t>Pézènes-les-Mines</t>
  </si>
  <si>
    <t>Alain BOZON</t>
  </si>
  <si>
    <t>Pierrerue</t>
  </si>
  <si>
    <t>Daniel ROGER</t>
  </si>
  <si>
    <t>Pignan</t>
  </si>
  <si>
    <t>Michelle CASSAR</t>
  </si>
  <si>
    <t>14,62%</t>
  </si>
  <si>
    <t>17,06</t>
  </si>
  <si>
    <t>Pinet</t>
  </si>
  <si>
    <t>Nicolas ISERN</t>
  </si>
  <si>
    <t>5,33</t>
  </si>
  <si>
    <t>2,89</t>
  </si>
  <si>
    <t>Plaissan</t>
  </si>
  <si>
    <t>Béatrice FERNANDO</t>
  </si>
  <si>
    <t>3,60</t>
  </si>
  <si>
    <t>Les Plans</t>
  </si>
  <si>
    <t>Daniel FABRE</t>
  </si>
  <si>
    <t>Poilhes</t>
  </si>
  <si>
    <t>Bérenger SARDA</t>
  </si>
  <si>
    <t>Pomérols</t>
  </si>
  <si>
    <t>Laurent DURBAN</t>
  </si>
  <si>
    <t>Popian</t>
  </si>
  <si>
    <t>Marie-Agnès SIBERTIN BLANC</t>
  </si>
  <si>
    <t>Portiragnes</t>
  </si>
  <si>
    <t>Gwendoline CHAUDOIR</t>
  </si>
  <si>
    <t>Le Pouget</t>
  </si>
  <si>
    <t>Thibaut BARRAL</t>
  </si>
  <si>
    <t>11,00</t>
  </si>
  <si>
    <t>Le Poujol-sur-Orb</t>
  </si>
  <si>
    <t>Yves ROBIN</t>
  </si>
  <si>
    <t>Poujols</t>
  </si>
  <si>
    <t>Antoine GOUTELLE</t>
  </si>
  <si>
    <t>Poussan</t>
  </si>
  <si>
    <t>Florence SANCHEZ</t>
  </si>
  <si>
    <t>3,25%</t>
  </si>
  <si>
    <t>44,50</t>
  </si>
  <si>
    <t>2,30</t>
  </si>
  <si>
    <t>Pouzolles</t>
  </si>
  <si>
    <t>Guy ROUCAYROL</t>
  </si>
  <si>
    <t>Pouzols</t>
  </si>
  <si>
    <t>Véronique NEIL</t>
  </si>
  <si>
    <t>Le Pradal</t>
  </si>
  <si>
    <t>Christian BIES</t>
  </si>
  <si>
    <t>Prades-le-Lez</t>
  </si>
  <si>
    <t>Florence BRAU</t>
  </si>
  <si>
    <t>10,99%</t>
  </si>
  <si>
    <t>1,91</t>
  </si>
  <si>
    <t>Prades-sur-Vernazobre</t>
  </si>
  <si>
    <t>Jean-Marie MILHAU</t>
  </si>
  <si>
    <t>Prémian</t>
  </si>
  <si>
    <t>Roland COUTOU</t>
  </si>
  <si>
    <t>Le Puech</t>
  </si>
  <si>
    <t>Bernard GOUJON</t>
  </si>
  <si>
    <t>Puéchabon</t>
  </si>
  <si>
    <t>Xavier PEYRAUD</t>
  </si>
  <si>
    <t>Puilacher</t>
  </si>
  <si>
    <t>Martine BONNET</t>
  </si>
  <si>
    <t>Puimisson</t>
  </si>
  <si>
    <t>Daniel BARTHES</t>
  </si>
  <si>
    <t>Puissalicon</t>
  </si>
  <si>
    <t>Michel FARENC</t>
  </si>
  <si>
    <t>Puisserguier</t>
  </si>
  <si>
    <t>Jean-Noël BADENAS</t>
  </si>
  <si>
    <t>Quarante</t>
  </si>
  <si>
    <t>Gilbert RIVAYRAND</t>
  </si>
  <si>
    <t>2,33</t>
  </si>
  <si>
    <t>Restinclières</t>
  </si>
  <si>
    <t>Geniès BALAZUN</t>
  </si>
  <si>
    <t>5,60</t>
  </si>
  <si>
    <t>Rieussec</t>
  </si>
  <si>
    <t>Alain MOULY</t>
  </si>
  <si>
    <t>Riols</t>
  </si>
  <si>
    <t>Jean-Marc SALEINE</t>
  </si>
  <si>
    <t>Les Rives</t>
  </si>
  <si>
    <t>Jean-Paul AGUSSOL</t>
  </si>
  <si>
    <t>Romiguières</t>
  </si>
  <si>
    <t>Valérie ROUVEIROL</t>
  </si>
  <si>
    <t>Roquebrun</t>
  </si>
  <si>
    <t>Catherine LISTER</t>
  </si>
  <si>
    <t>Roqueredonde</t>
  </si>
  <si>
    <t>Jean REVERBEL</t>
  </si>
  <si>
    <t>Roquessels</t>
  </si>
  <si>
    <t>Michel SALLES</t>
  </si>
  <si>
    <t>Rosis</t>
  </si>
  <si>
    <t>Anne-Lise SAUTEREL</t>
  </si>
  <si>
    <t>Rouet</t>
  </si>
  <si>
    <t>Myriam SABATIER</t>
  </si>
  <si>
    <t>Roujan</t>
  </si>
  <si>
    <t>Jean BLANQUEFORT</t>
  </si>
  <si>
    <t>14,00</t>
  </si>
  <si>
    <t>Saint-André-de-Buèges</t>
  </si>
  <si>
    <t>René ALBE</t>
  </si>
  <si>
    <t>Saint-André-de-Sangonis</t>
  </si>
  <si>
    <t>Jean-Pierre GABAUDAN</t>
  </si>
  <si>
    <t>5,36</t>
  </si>
  <si>
    <t>11,14</t>
  </si>
  <si>
    <t>Saint-Aunès</t>
  </si>
  <si>
    <t>Alain HUGUES</t>
  </si>
  <si>
    <t>13,14</t>
  </si>
  <si>
    <t>Saint-Bauzille-de-la-Sylve</t>
  </si>
  <si>
    <t>Grégory BRO</t>
  </si>
  <si>
    <t>Saint-Bauzille-de-Montmel</t>
  </si>
  <si>
    <t>Françoise MATHERON</t>
  </si>
  <si>
    <t>Saint-Bauzille-de-Putois</t>
  </si>
  <si>
    <t>Oscar ALLE</t>
  </si>
  <si>
    <t>Saint-Brès</t>
  </si>
  <si>
    <t>Laurent JAOUL</t>
  </si>
  <si>
    <t>6,87</t>
  </si>
  <si>
    <t>Saint-Chinian</t>
  </si>
  <si>
    <t>Catherine COMBES</t>
  </si>
  <si>
    <t>Entre-Vignes</t>
  </si>
  <si>
    <t>Jean-Jacques ESTEBAN</t>
  </si>
  <si>
    <t>Saint-Clément-de-Rivière</t>
  </si>
  <si>
    <t>Laurence CRISTOL</t>
  </si>
  <si>
    <t>10,51%</t>
  </si>
  <si>
    <t>7,25</t>
  </si>
  <si>
    <t>Sainte-Croix-de-Quintillargues</t>
  </si>
  <si>
    <t>Antoine MARTINEZ</t>
  </si>
  <si>
    <t>Saint-Drézéry</t>
  </si>
  <si>
    <t>Jackie GALABRUN-BOULBES</t>
  </si>
  <si>
    <t>1,67</t>
  </si>
  <si>
    <t>8,25</t>
  </si>
  <si>
    <t>Saint-Étienne-d'Albagnan</t>
  </si>
  <si>
    <t>Franck LIGNON</t>
  </si>
  <si>
    <t>Saint-Étienne-de-Gourgas</t>
  </si>
  <si>
    <t>Jean-Luc REQUI</t>
  </si>
  <si>
    <t>Saint-Étienne-Estréchoux</t>
  </si>
  <si>
    <t>Henri MATHIEU</t>
  </si>
  <si>
    <t>Saint-Félix-de-l'Héras</t>
  </si>
  <si>
    <t>Françoise OLIVIER</t>
  </si>
  <si>
    <t>Saint-Félix-de-Lodez</t>
  </si>
  <si>
    <t>Joseph RODRIGUEZ</t>
  </si>
  <si>
    <t>Saint-Gély-du-Fesc</t>
  </si>
  <si>
    <t>Michèle LERNOUT</t>
  </si>
  <si>
    <t>7,58%</t>
  </si>
  <si>
    <t>39,83</t>
  </si>
  <si>
    <t>8,64</t>
  </si>
  <si>
    <t>Saint-Geniès-des-Mourgues</t>
  </si>
  <si>
    <t>Jean-claude BOLTZ</t>
  </si>
  <si>
    <t>Saint-Geniès-de-Varensal</t>
  </si>
  <si>
    <t>Yvon PELLET</t>
  </si>
  <si>
    <t>Saint-Geniès-de-Fontedit</t>
  </si>
  <si>
    <t>Lionel GAYSSOT</t>
  </si>
  <si>
    <t>Saint-Georges-d'Orques</t>
  </si>
  <si>
    <t>Jean-François AUDRIN</t>
  </si>
  <si>
    <t>10,05%</t>
  </si>
  <si>
    <t>4,07</t>
  </si>
  <si>
    <t>33,00</t>
  </si>
  <si>
    <t>Saint-Gervais-sur-Mare</t>
  </si>
  <si>
    <t>Jean-Luc FALIP</t>
  </si>
  <si>
    <t>Saint-Guilhem-le-Désert</t>
  </si>
  <si>
    <t>Robert SIEGEL</t>
  </si>
  <si>
    <t>Saint-Guiraud</t>
  </si>
  <si>
    <t>Daniel REQUIRAND</t>
  </si>
  <si>
    <t>Saint-Hilaire-de-Beauvoir</t>
  </si>
  <si>
    <t>Jean-Michel PECOUL</t>
  </si>
  <si>
    <t>Saint-Jean-de-Buèges</t>
  </si>
  <si>
    <t>Laurent SENET</t>
  </si>
  <si>
    <t>Saint-Jean-de-Cornies</t>
  </si>
  <si>
    <t>Jean-Claude ARMAND</t>
  </si>
  <si>
    <t>Saint-Jean-de-Cuculles</t>
  </si>
  <si>
    <t>Jean-Pierre RAMBIER</t>
  </si>
  <si>
    <t>Saint-Jean-de-Fos</t>
  </si>
  <si>
    <t>Pascal DELIEUZE</t>
  </si>
  <si>
    <t>Saint-Jean-de-la-Blaquière</t>
  </si>
  <si>
    <t>Bernard JAHNICH</t>
  </si>
  <si>
    <t>Saint-Jean-de-Minervois</t>
  </si>
  <si>
    <t>Sylvie MIQUEL</t>
  </si>
  <si>
    <t>Saint-Jean-de-Védas</t>
  </si>
  <si>
    <t>François RIO</t>
  </si>
  <si>
    <t>13,02%</t>
  </si>
  <si>
    <t>6,80</t>
  </si>
  <si>
    <t>Saint-Julien</t>
  </si>
  <si>
    <t>Robert AZAIS</t>
  </si>
  <si>
    <t>Saint-Just</t>
  </si>
  <si>
    <t>Hervé DIEULEFES</t>
  </si>
  <si>
    <t>10,20</t>
  </si>
  <si>
    <t>Saint-Martin-de-l'Arçon</t>
  </si>
  <si>
    <t>Thierry SALLES-BLAYAC</t>
  </si>
  <si>
    <t>Saint-Martin-de-Londres</t>
  </si>
  <si>
    <t>Gérard BRUNEL</t>
  </si>
  <si>
    <t>17,33</t>
  </si>
  <si>
    <t>Saint-Mathieu-de-Tréviers</t>
  </si>
  <si>
    <t>Jérôme LOPEZ</t>
  </si>
  <si>
    <t>3,89</t>
  </si>
  <si>
    <t>6,24</t>
  </si>
  <si>
    <t>Saint-Maurice-Navacelles</t>
  </si>
  <si>
    <t>Clément THERY</t>
  </si>
  <si>
    <t>Saint-Michel</t>
  </si>
  <si>
    <t>Sophie PRADEL</t>
  </si>
  <si>
    <t>Saint-Nazaire-de-Ladarez</t>
  </si>
  <si>
    <t>Sylvie MILHAU-LERMET</t>
  </si>
  <si>
    <t>Saint-Nazaire-de-Pézan</t>
  </si>
  <si>
    <t>Christophe CALVET</t>
  </si>
  <si>
    <t>Saint-Pargoire</t>
  </si>
  <si>
    <t>Jean-Luc  DARMANIN</t>
  </si>
  <si>
    <t>2,71</t>
  </si>
  <si>
    <t>Saint-Paul-et-Valmalle</t>
  </si>
  <si>
    <t>Jean-Pierre BERTOLINI</t>
  </si>
  <si>
    <t>Saint-Pierre-de-la-Fage</t>
  </si>
  <si>
    <t>Pierre-Paul BOUSQUET</t>
  </si>
  <si>
    <t>Saint-Pons-de-Thomières</t>
  </si>
  <si>
    <t>André ARROUCHE</t>
  </si>
  <si>
    <t>1,58</t>
  </si>
  <si>
    <t>1,24</t>
  </si>
  <si>
    <t>Saint-Pons-de-Mauchiens</t>
  </si>
  <si>
    <t>Christine PRADEL</t>
  </si>
  <si>
    <t>Saint-Privat</t>
  </si>
  <si>
    <t>Samuel GOUDOU</t>
  </si>
  <si>
    <t>Saint-Saturnin-de-Lucian</t>
  </si>
  <si>
    <t>Florence QUINONERO</t>
  </si>
  <si>
    <t>Saint-Sériès</t>
  </si>
  <si>
    <t>Pierre GRISELIN</t>
  </si>
  <si>
    <t>Saint-Thibéry</t>
  </si>
  <si>
    <t>Jean AUGÉ</t>
  </si>
  <si>
    <t>5,40</t>
  </si>
  <si>
    <t>Saint-Vincent-de-Barbeyrargues</t>
  </si>
  <si>
    <t>Bernard FONTES</t>
  </si>
  <si>
    <t>Saint-Vincent-d'Olargues</t>
  </si>
  <si>
    <t>Frédéric CAUSSIL</t>
  </si>
  <si>
    <t>Salasc</t>
  </si>
  <si>
    <t>Jacques ARRIBAT</t>
  </si>
  <si>
    <t>La Salvetat-sur-Agout</t>
  </si>
  <si>
    <t>Francis CROS</t>
  </si>
  <si>
    <t>Saturargues</t>
  </si>
  <si>
    <t>Martine DUBAYLE-CALBANO</t>
  </si>
  <si>
    <t>Saussan</t>
  </si>
  <si>
    <t>Joël VERA</t>
  </si>
  <si>
    <t>10,67</t>
  </si>
  <si>
    <t>Saussines</t>
  </si>
  <si>
    <t>Isabelle DE MONTGOLFIER</t>
  </si>
  <si>
    <t>Sauteyrargues</t>
  </si>
  <si>
    <t>Gilles BERGER</t>
  </si>
  <si>
    <t>Sauvian</t>
  </si>
  <si>
    <t>Bernard AURIOL</t>
  </si>
  <si>
    <t>8,68%</t>
  </si>
  <si>
    <t>9,47</t>
  </si>
  <si>
    <t>7,89</t>
  </si>
  <si>
    <t>Sérignan</t>
  </si>
  <si>
    <t>Frédéric LACAS</t>
  </si>
  <si>
    <t>9,69%</t>
  </si>
  <si>
    <t>4,36</t>
  </si>
  <si>
    <t>Servian</t>
  </si>
  <si>
    <t>Christophe THOMAS</t>
  </si>
  <si>
    <t>10,85%</t>
  </si>
  <si>
    <t>6,54</t>
  </si>
  <si>
    <t>10,38</t>
  </si>
  <si>
    <t>Sète</t>
  </si>
  <si>
    <t>François COMMEINHES</t>
  </si>
  <si>
    <t>Canton 25 - Sète</t>
  </si>
  <si>
    <t>Véronique CALUEBA et Jérôme LOPEZ</t>
  </si>
  <si>
    <t>20,35%</t>
  </si>
  <si>
    <t>8,77</t>
  </si>
  <si>
    <t>20,20</t>
  </si>
  <si>
    <t>Siran</t>
  </si>
  <si>
    <t>Michel CARQUET</t>
  </si>
  <si>
    <t>Sorbs</t>
  </si>
  <si>
    <t>Eric OLLIER</t>
  </si>
  <si>
    <t>Soubès</t>
  </si>
  <si>
    <t>ISABELLE PERIGAULT</t>
  </si>
  <si>
    <t>Le Soulié</t>
  </si>
  <si>
    <t>Roger NEGRE</t>
  </si>
  <si>
    <t>Soumont</t>
  </si>
  <si>
    <t>Daniel VALETTE</t>
  </si>
  <si>
    <t>Sussargues</t>
  </si>
  <si>
    <t>Eliane LLORET</t>
  </si>
  <si>
    <t>Taussac-la-Billière</t>
  </si>
  <si>
    <t>Bernard VINCHES</t>
  </si>
  <si>
    <t>Teyran</t>
  </si>
  <si>
    <t>Eric BASCOU</t>
  </si>
  <si>
    <t>59,00</t>
  </si>
  <si>
    <t>11,80</t>
  </si>
  <si>
    <t>Thézan-lès-Béziers</t>
  </si>
  <si>
    <t>Alain DURO</t>
  </si>
  <si>
    <t>Tourbes</t>
  </si>
  <si>
    <t>Lionel PUCHE</t>
  </si>
  <si>
    <t>1,86</t>
  </si>
  <si>
    <t>La Tour-sur-Orb</t>
  </si>
  <si>
    <t>Bernard SALLETTES</t>
  </si>
  <si>
    <t>Tressan</t>
  </si>
  <si>
    <t>Daniel JAUDON</t>
  </si>
  <si>
    <t>Le Triadou</t>
  </si>
  <si>
    <t>Pascal VABRE</t>
  </si>
  <si>
    <t>Usclas-d'Hérault</t>
  </si>
  <si>
    <t>Christian RIGAUD</t>
  </si>
  <si>
    <t>Usclas-du-Bosc</t>
  </si>
  <si>
    <t>Caroline DESMARETZ-CARLES</t>
  </si>
  <si>
    <t>La Vacquerie-et-Saint-Martin-de-Castries</t>
  </si>
  <si>
    <t>Martine BAÏSSET</t>
  </si>
  <si>
    <t>Vacquières</t>
  </si>
  <si>
    <t>Jean-Baptiste PANCHAU</t>
  </si>
  <si>
    <t>Vailhan</t>
  </si>
  <si>
    <t>Jean-Michel ULMER</t>
  </si>
  <si>
    <t>Vailhauquès</t>
  </si>
  <si>
    <t>Hussam AL MALLAK</t>
  </si>
  <si>
    <t>Valergues</t>
  </si>
  <si>
    <t>Jean-Louis BOUSCARAIN</t>
  </si>
  <si>
    <t>Valflaunès</t>
  </si>
  <si>
    <t>Gérard FABRE</t>
  </si>
  <si>
    <t>Valmascle</t>
  </si>
  <si>
    <t>Gérald VALENTINI</t>
  </si>
  <si>
    <t>Valras-Plage</t>
  </si>
  <si>
    <t>Daniel BALLESTER</t>
  </si>
  <si>
    <t>1,92%</t>
  </si>
  <si>
    <t>14,29</t>
  </si>
  <si>
    <t>20,40</t>
  </si>
  <si>
    <t>Valros</t>
  </si>
  <si>
    <t>Michel LOUP</t>
  </si>
  <si>
    <t>Vélieux</t>
  </si>
  <si>
    <t>Marie-Françoise FRANC</t>
  </si>
  <si>
    <t>Vendargues</t>
  </si>
  <si>
    <t>Guy LAURET</t>
  </si>
  <si>
    <t>12,50%</t>
  </si>
  <si>
    <t>3,18</t>
  </si>
  <si>
    <t>4,82</t>
  </si>
  <si>
    <t>Vendémian</t>
  </si>
  <si>
    <t>David CABLAT</t>
  </si>
  <si>
    <t>Vendres</t>
  </si>
  <si>
    <t>Jean-Pierre PEREZ</t>
  </si>
  <si>
    <t>Verreries-de-Moussans</t>
  </si>
  <si>
    <t>Franck POUJOL-RICARD</t>
  </si>
  <si>
    <t>Vias</t>
  </si>
  <si>
    <t>Jordan DARTIER</t>
  </si>
  <si>
    <t>6,63%</t>
  </si>
  <si>
    <t>33,17</t>
  </si>
  <si>
    <t>2,08</t>
  </si>
  <si>
    <t>Vic-la-Gardiole</t>
  </si>
  <si>
    <t>Magali FERRIER</t>
  </si>
  <si>
    <t>Vieussan</t>
  </si>
  <si>
    <t>Luc GUIRAUD</t>
  </si>
  <si>
    <t>Villemagne-l'Argentière</t>
  </si>
  <si>
    <t>Olivier ROUBICHON-OURADOU</t>
  </si>
  <si>
    <t>Villeneuve-lès-Béziers</t>
  </si>
  <si>
    <t>Fabrice SOLANS</t>
  </si>
  <si>
    <t>5,32%</t>
  </si>
  <si>
    <t>8,38</t>
  </si>
  <si>
    <t>6,15</t>
  </si>
  <si>
    <t>Villeneuve-lès-Maguelone</t>
  </si>
  <si>
    <t>Véronique NÉGRET</t>
  </si>
  <si>
    <t>14,57%</t>
  </si>
  <si>
    <t>10,79</t>
  </si>
  <si>
    <t>12,03</t>
  </si>
  <si>
    <t>Villeneuvette</t>
  </si>
  <si>
    <t>Jacky PEREZ</t>
  </si>
  <si>
    <t>Villespassans</t>
  </si>
  <si>
    <t>Jean-Christophe PETIT</t>
  </si>
  <si>
    <t>Villetelle</t>
  </si>
  <si>
    <t>Jean-Pierre NAVAS</t>
  </si>
  <si>
    <t>Villeveyrac</t>
  </si>
  <si>
    <t>Christophe MORGO</t>
  </si>
  <si>
    <t>2,72%</t>
  </si>
  <si>
    <t>42,00</t>
  </si>
  <si>
    <t>4,56</t>
  </si>
  <si>
    <t>Viols-en-Laval</t>
  </si>
  <si>
    <t>Luc GROS</t>
  </si>
  <si>
    <t>Viols-le-Fort</t>
  </si>
  <si>
    <t>Anne DURAND</t>
  </si>
  <si>
    <t>La Grande Motte</t>
  </si>
  <si>
    <t>superficie</t>
  </si>
  <si>
    <t>NC</t>
  </si>
  <si>
    <t>Évol. annuelle moy. de la pop. due au solde naturel 2013-2018</t>
  </si>
  <si>
    <t>Population municipale 2018</t>
  </si>
  <si>
    <t>adhésion ODH</t>
  </si>
  <si>
    <t>Hérault</t>
  </si>
  <si>
    <t>Stéphan ROSSIGNOL</t>
  </si>
  <si>
    <t>Population municipale 2008</t>
  </si>
  <si>
    <t>Population municipale 2013</t>
  </si>
  <si>
    <t>LT autre commune</t>
  </si>
  <si>
    <t>nafart0920</t>
  </si>
  <si>
    <t>Carte d'identité</t>
  </si>
  <si>
    <t>Superficie</t>
  </si>
  <si>
    <t>mise à jour : mars 2022</t>
  </si>
  <si>
    <t>Urbanisme</t>
  </si>
  <si>
    <t>Compétence Urbanisme</t>
  </si>
  <si>
    <t>Démographie</t>
  </si>
  <si>
    <t>Logement - Parc Public</t>
  </si>
  <si>
    <t>Logement - Parc Privé</t>
  </si>
  <si>
    <t>Logement</t>
  </si>
  <si>
    <t>résidences principales</t>
  </si>
  <si>
    <t>logements vacants</t>
  </si>
  <si>
    <t>part dans le total des logements (en %)</t>
  </si>
  <si>
    <t>type de logements</t>
  </si>
  <si>
    <t>Parc des bailleurs au 1/01/2021</t>
  </si>
  <si>
    <t>Hérault Logement</t>
  </si>
  <si>
    <t>Pression</t>
  </si>
  <si>
    <t>Étiquettes de lignes</t>
  </si>
  <si>
    <t>ACM</t>
  </si>
  <si>
    <t>ADAGES</t>
  </si>
  <si>
    <t>CDC habitat</t>
  </si>
  <si>
    <t>CDC habitat social</t>
  </si>
  <si>
    <t>Entreprendre pour humaniser la dépendance</t>
  </si>
  <si>
    <t>ERILIA</t>
  </si>
  <si>
    <t>FDI Habitat</t>
  </si>
  <si>
    <t>Foncière DI</t>
  </si>
  <si>
    <t>Foncière RU</t>
  </si>
  <si>
    <t>Habitat et Humanisme</t>
  </si>
  <si>
    <t>HLM du LR</t>
  </si>
  <si>
    <t>ICF</t>
  </si>
  <si>
    <t xml:space="preserve">Immobilière Méditerranéenne (SA HLM de la Vallée du Thoré) : </t>
  </si>
  <si>
    <t>La Cité-Jardins</t>
  </si>
  <si>
    <t>OPH Béz.Médit.Habitat</t>
  </si>
  <si>
    <t>OPH Sète</t>
  </si>
  <si>
    <t>Patrimoine SA Languedocienne</t>
  </si>
  <si>
    <t>PROMOLOGIS</t>
  </si>
  <si>
    <t>Résidence sociale de France</t>
  </si>
  <si>
    <t>SFHE</t>
  </si>
  <si>
    <t>Soliha</t>
  </si>
  <si>
    <t>Un toit pour tous</t>
  </si>
  <si>
    <t>VILOGIA</t>
  </si>
  <si>
    <t>Total général</t>
  </si>
  <si>
    <t>SA HLM de la Vallée du Thoré</t>
  </si>
  <si>
    <t>dont Hérault Logement</t>
  </si>
  <si>
    <t>et autres opérateurs</t>
  </si>
  <si>
    <t>T2</t>
  </si>
  <si>
    <t>T1</t>
  </si>
  <si>
    <t>T3</t>
  </si>
  <si>
    <t>résidences secondaires</t>
  </si>
  <si>
    <t>T4+</t>
  </si>
  <si>
    <t>Demandes - 31 décembre 2020</t>
  </si>
  <si>
    <t>LLS - 1er janvier 2021</t>
  </si>
  <si>
    <t>Indicateurs de pression</t>
  </si>
  <si>
    <t>Demandes 2019</t>
  </si>
  <si>
    <t>Pression 2019</t>
  </si>
  <si>
    <t>Pression 2020</t>
  </si>
  <si>
    <t>τ de mobilité</t>
  </si>
  <si>
    <t>τ de vacance</t>
  </si>
  <si>
    <t>PLAI hébergement</t>
  </si>
  <si>
    <t>PLAI autres publics spécifiques</t>
  </si>
  <si>
    <t>PLAI adapté autres pub. spé.</t>
  </si>
  <si>
    <t>LLS financés de 2019 à 2021</t>
  </si>
  <si>
    <t>Demandes et attributions de LLS 2019 et 2020</t>
  </si>
  <si>
    <t>Année de conventionnement selon le type de loyer</t>
  </si>
  <si>
    <t>intermédiaire :</t>
  </si>
  <si>
    <t>conventionné social :</t>
  </si>
  <si>
    <t>conventionné très social :</t>
  </si>
  <si>
    <t>Total :</t>
  </si>
  <si>
    <t>PLS Ménages</t>
  </si>
  <si>
    <t>PLS Jeunes</t>
  </si>
  <si>
    <t>PLS Etudiants</t>
  </si>
  <si>
    <t>PLS autres publics spécifiques</t>
  </si>
  <si>
    <t>Total PLAI</t>
  </si>
  <si>
    <t>Total PLS</t>
  </si>
  <si>
    <t>Total (tout confondu)</t>
  </si>
  <si>
    <t>2020 avec travaux</t>
  </si>
  <si>
    <t>2020 sans travaux</t>
  </si>
  <si>
    <t>Population municipale</t>
  </si>
  <si>
    <t>due au solde naturel</t>
  </si>
  <si>
    <t>due au solde apparent entrées/sorties</t>
  </si>
  <si>
    <t>Lieu de travail des habitants actifs</t>
  </si>
  <si>
    <t>même commune</t>
  </si>
  <si>
    <t>autre commune</t>
  </si>
  <si>
    <t>Évol. annuelle moy. de la population 2013 - 2019</t>
  </si>
  <si>
    <t>recensement de la population RP 2018</t>
  </si>
  <si>
    <t>Source SISAL - mise à jour mars 2022</t>
  </si>
  <si>
    <t>Source RPLS 2021 - SNE 2020</t>
  </si>
  <si>
    <t>Nb_log_pp_2020</t>
  </si>
  <si>
    <t>Nb_logvac_pp_010119</t>
  </si>
  <si>
    <t>Nb_logvac_pp_C_010119</t>
  </si>
  <si>
    <t>Nb_logvac_2A_010119</t>
  </si>
  <si>
    <t>Prop_logvac_pp_010119</t>
  </si>
  <si>
    <t>Prop_logvac_pp_C_010119</t>
  </si>
  <si>
    <t>Prop_logvac_pp_2A_010119</t>
  </si>
  <si>
    <t>Compétence urba</t>
  </si>
  <si>
    <t>SCOT BITERROIS</t>
  </si>
  <si>
    <t>SCOT DE MONTPELLIER MEDITERRANEE METROPOLE</t>
  </si>
  <si>
    <t>SCOT BASSIN DE THAU</t>
  </si>
  <si>
    <t>SCOT PAYS DE L'OR</t>
  </si>
  <si>
    <t>SCOT DU PAYS DE LUNEL</t>
  </si>
  <si>
    <t>SCOT DU PIC SAINT-LOUP HAUTE VALLEE DE L'HERAULT</t>
  </si>
  <si>
    <t>SCOT DES HAUTES TERRES D'OC</t>
  </si>
  <si>
    <t>-Nombre de logements vacants du parc privé au 01/01/2019</t>
  </si>
  <si>
    <t>-Nombre de logements du parc privé vacants depuis moins de deux ans au 01/01/2019</t>
  </si>
  <si>
    <t>-Nombre de logements du parc privé vacants depuis deux ans ou plus au 01/01/2019</t>
  </si>
  <si>
    <t>mise à jour : mars 2022- LOVAC 2020</t>
  </si>
  <si>
    <t>mise à jour : mars 2022- DDTM34</t>
  </si>
  <si>
    <t>mise à jour : avril2022- DDTM34</t>
  </si>
  <si>
    <t>PLH opposable</t>
  </si>
  <si>
    <t>En cours d'élaboration</t>
  </si>
  <si>
    <t>recensement de la population RP 2019 - 2018 - 2013 - 2008 - 1999 - 1990</t>
  </si>
  <si>
    <t>Source RPLS - 2021</t>
  </si>
  <si>
    <t>Patrimoine des bailleurs à ne pas diffuser</t>
  </si>
  <si>
    <t>Zonage CRHH</t>
  </si>
  <si>
    <t>Moyenne de CODE EPCI</t>
  </si>
  <si>
    <t>Somme de superficie</t>
  </si>
  <si>
    <t>Président</t>
  </si>
  <si>
    <t>nombre de communes</t>
  </si>
  <si>
    <t>FICHE INTERCOMMUNALE</t>
  </si>
  <si>
    <t>Président EPCI</t>
  </si>
  <si>
    <t>Nombre de code</t>
  </si>
  <si>
    <t>SANS</t>
  </si>
  <si>
    <t>Période de référence du PLH</t>
  </si>
  <si>
    <t>Objectifs de production de RP / an</t>
  </si>
  <si>
    <t>PLAI</t>
  </si>
  <si>
    <t>PLUS</t>
  </si>
  <si>
    <t>PLS</t>
  </si>
  <si>
    <t>Total LLS
Public</t>
  </si>
  <si>
    <t>PSLA</t>
  </si>
  <si>
    <t>Total</t>
  </si>
  <si>
    <t>PLH (2019-2024)</t>
  </si>
  <si>
    <t>PLH (2021-2026)</t>
  </si>
  <si>
    <t>/</t>
  </si>
  <si>
    <t>PLH (2015-2020)</t>
  </si>
  <si>
    <t>PLH (2016-2021)</t>
  </si>
  <si>
    <t>Période de référence</t>
  </si>
  <si>
    <t>ETAT PLH</t>
  </si>
  <si>
    <t>Dont PLAI</t>
  </si>
  <si>
    <t>Résidences principales</t>
  </si>
  <si>
    <t>LLS total</t>
  </si>
  <si>
    <t>Dont PLUS</t>
  </si>
  <si>
    <t>Dont PLS</t>
  </si>
  <si>
    <t>PLH et objectifs de production de logements / an</t>
  </si>
  <si>
    <t>Nombre de LLS SRU</t>
  </si>
  <si>
    <t>epci</t>
  </si>
  <si>
    <t>Somme de LLS SRU manquants</t>
  </si>
  <si>
    <t>Somme de Nombre LLS</t>
  </si>
  <si>
    <t>(Plusieurs éléments)</t>
  </si>
  <si>
    <t>Somme de LLS 1 pièce</t>
  </si>
  <si>
    <t>Somme de LLS 2 pièce2</t>
  </si>
  <si>
    <t>Somme de LLS 3 pièce</t>
  </si>
  <si>
    <t>Somme de LLS 4 pièce</t>
  </si>
  <si>
    <t>Somme de LLS 5 pièce +</t>
  </si>
  <si>
    <t xml:space="preserve">Somme de Demandes 2019 </t>
  </si>
  <si>
    <t>Somme de Attributions 2019</t>
  </si>
  <si>
    <t>Somme de Demandes 2020</t>
  </si>
  <si>
    <t>Somme de Attributions 2020</t>
  </si>
  <si>
    <t>Somme de PLAI Jeunes</t>
  </si>
  <si>
    <t>Somme de PLAI Ménages</t>
  </si>
  <si>
    <t>Somme de PLAI hébergementPublics maison relais ou res. d'accueil</t>
  </si>
  <si>
    <t>Somme de PLAI Autres publics spécifiques</t>
  </si>
  <si>
    <t>Somme de PLAI adapté Autres publics spécifiques</t>
  </si>
  <si>
    <t>Somme de PLAI adapté Ménages</t>
  </si>
  <si>
    <t>Somme de PLAI adapté hébergement</t>
  </si>
  <si>
    <t>Somme de LI Etudiants</t>
  </si>
  <si>
    <t>Somme de LI Jeunes</t>
  </si>
  <si>
    <t>Somme de LI Ménages</t>
  </si>
  <si>
    <t>Somme de LI Autres publics spécifiques</t>
  </si>
  <si>
    <t>Somme de PLUS Ménages</t>
  </si>
  <si>
    <t>Somme de PSLA Ménages</t>
  </si>
  <si>
    <t>Somme de Dem LLS T1</t>
  </si>
  <si>
    <t>Somme de Dem LLS T2</t>
  </si>
  <si>
    <t>Somme de Dem LLS T3</t>
  </si>
  <si>
    <t>Somme de Dem LLS T4</t>
  </si>
  <si>
    <t>#N/A</t>
  </si>
  <si>
    <t>Somme de ACM</t>
  </si>
  <si>
    <t>Somme de ADAGES</t>
  </si>
  <si>
    <t>Somme de CDC habitat</t>
  </si>
  <si>
    <t>Somme de CDC habitat social</t>
  </si>
  <si>
    <t>Somme de Entreprendre pour humaniser la dépendance</t>
  </si>
  <si>
    <t>Somme de ERILIA</t>
  </si>
  <si>
    <t>Somme de FDI Habitat</t>
  </si>
  <si>
    <t>Somme de Foncière DI</t>
  </si>
  <si>
    <t>Somme de Foncière RU</t>
  </si>
  <si>
    <t>Somme de Habitat et Humanisme</t>
  </si>
  <si>
    <t>Somme de HLM du LR</t>
  </si>
  <si>
    <t>Somme de Hérault Logement</t>
  </si>
  <si>
    <t>Somme de ICF</t>
  </si>
  <si>
    <t>Somme de VILOGIA</t>
  </si>
  <si>
    <t>Somme de Un toit pour tous</t>
  </si>
  <si>
    <t>Somme de Soliha</t>
  </si>
  <si>
    <t>Somme de SFHE</t>
  </si>
  <si>
    <t>Somme de Résidence sociale de France</t>
  </si>
  <si>
    <t>Somme de PROMOLOGIS</t>
  </si>
  <si>
    <t>Somme de Patrimoine SA Languedocienne</t>
  </si>
  <si>
    <t>Somme de OPH Sète</t>
  </si>
  <si>
    <t>Somme de OPH Béz.Médit.Habitat</t>
  </si>
  <si>
    <t xml:space="preserve">Somme de Immobilière Méditerranéenne (SA HLM de la Vallée du Thoré) : </t>
  </si>
  <si>
    <t>Somme de La Cité-Jardins</t>
  </si>
  <si>
    <t>Somme de LI2016</t>
  </si>
  <si>
    <t>Somme de LCS2016</t>
  </si>
  <si>
    <t>Somme de LCTS2016</t>
  </si>
  <si>
    <t>Somme de LI2017</t>
  </si>
  <si>
    <t>Somme de LCS2017</t>
  </si>
  <si>
    <t>Somme de LCTS2017</t>
  </si>
  <si>
    <t>Somme de LI2018</t>
  </si>
  <si>
    <t>Somme de LCS2018</t>
  </si>
  <si>
    <t>Somme de LCTS2018</t>
  </si>
  <si>
    <t>Somme de LI2019</t>
  </si>
  <si>
    <t>Somme de LCS2019</t>
  </si>
  <si>
    <t>Somme de LCTS2019</t>
  </si>
  <si>
    <t>Somme de LI2020</t>
  </si>
  <si>
    <t>Somme de LCS2020</t>
  </si>
  <si>
    <t>Somme de LCTS2020</t>
  </si>
  <si>
    <t>Somme de LI2020_Sanstravaux</t>
  </si>
  <si>
    <t>Somme de LCS2020_Sanstravaux</t>
  </si>
  <si>
    <t>Somme de LCTS2020_Sanstravaux</t>
  </si>
  <si>
    <t>Somme de LCS2020_travaux</t>
  </si>
  <si>
    <t>Somme de LI2020_travaux</t>
  </si>
  <si>
    <t>Somme de LCTS2020_travaux</t>
  </si>
  <si>
    <t>Somme de Nb_log_pp_2020</t>
  </si>
  <si>
    <t>Somme de Nb_logvac_pp_010119</t>
  </si>
  <si>
    <t>Somme de Nb_logvac_pp_C_010119</t>
  </si>
  <si>
    <t>Somme de Nb_logvac_2A_010119</t>
  </si>
  <si>
    <t>Pression T1</t>
  </si>
  <si>
    <t>Pression T2</t>
  </si>
  <si>
    <t>Pression T3</t>
  </si>
  <si>
    <t>Pression T4+</t>
  </si>
  <si>
    <t>Taux mobilité</t>
  </si>
  <si>
    <t>Taux vacance</t>
  </si>
  <si>
    <t>N'adhère pas à l'ODH</t>
  </si>
  <si>
    <t>Adhère à l'ODH</t>
  </si>
  <si>
    <t>Adhère à l'ODH via le PHLV</t>
  </si>
  <si>
    <t>Adhère à l'ODH via leur OLL</t>
  </si>
  <si>
    <t>M Robert MÉNARD</t>
  </si>
  <si>
    <t>M Stephan ROSSIGNOL</t>
  </si>
  <si>
    <t>M Gilles D'ETTORE</t>
  </si>
  <si>
    <t>M François COMMEINHES</t>
  </si>
  <si>
    <t>M Daniel VIDAL</t>
  </si>
  <si>
    <t>M Michel FRATISSIER</t>
  </si>
  <si>
    <t>M Claude REVEL</t>
  </si>
  <si>
    <t>M Alain BARBE</t>
  </si>
  <si>
    <t>M Josian CABROL</t>
  </si>
  <si>
    <t>M Pierre SOUJOL</t>
  </si>
  <si>
    <t>M Pierre MATHIEU</t>
  </si>
  <si>
    <t>M Alain CARALP</t>
  </si>
  <si>
    <t>M Francis BOUTES</t>
  </si>
  <si>
    <t>M Jean-Luc REQUI</t>
  </si>
  <si>
    <t>M Jean Noël BADENAS</t>
  </si>
  <si>
    <t>M Jean-François SOTO</t>
  </si>
  <si>
    <t>M Michaël DELAFOSSE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</si>
</sst>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%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24"/>
      <color theme="0" tint="-4.9989318521683403E-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mbria"/>
      <family val="1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sz val="8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0" borderId="0"/>
    <xf numFmtId="0" fontId="19" fillId="0" borderId="0"/>
  </cellStyleXfs>
  <cellXfs count="166">
    <xf numFmtId="0" fontId="0" fillId="0" borderId="0" xfId="0"/>
    <xf numFmtId="9" fontId="0" fillId="0" borderId="0" xfId="0" applyNumberFormat="1"/>
    <xf numFmtId="0" fontId="1" fillId="0" borderId="0" xfId="0" applyFont="1"/>
    <xf numFmtId="0" fontId="1" fillId="0" borderId="0" xfId="0" applyFont="1" applyAlignment="1">
      <alignment wrapText="1"/>
    </xf>
    <xf numFmtId="164" fontId="0" fillId="0" borderId="0" xfId="1" applyNumberFormat="1" applyFont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ill="1"/>
    <xf numFmtId="164" fontId="0" fillId="0" borderId="0" xfId="1" applyNumberFormat="1" applyFont="1" applyFill="1"/>
    <xf numFmtId="0" fontId="0" fillId="3" borderId="0" xfId="0" applyFill="1"/>
    <xf numFmtId="0" fontId="0" fillId="0" borderId="0" xfId="0" applyFill="1" applyAlignment="1">
      <alignment wrapText="1"/>
    </xf>
    <xf numFmtId="0" fontId="0" fillId="0" borderId="1" xfId="0" applyBorder="1"/>
    <xf numFmtId="0" fontId="0" fillId="0" borderId="0" xfId="0" applyBorder="1"/>
    <xf numFmtId="43" fontId="1" fillId="0" borderId="0" xfId="2" applyFont="1" applyAlignment="1">
      <alignment wrapText="1"/>
    </xf>
    <xf numFmtId="43" fontId="0" fillId="0" borderId="0" xfId="2" applyFont="1"/>
    <xf numFmtId="0" fontId="5" fillId="0" borderId="0" xfId="0" applyFont="1" applyFill="1" applyBorder="1" applyAlignment="1">
      <alignment horizontal="center"/>
    </xf>
    <xf numFmtId="0" fontId="1" fillId="7" borderId="2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1" fillId="7" borderId="3" xfId="0" applyFont="1" applyFill="1" applyBorder="1" applyAlignment="1">
      <alignment horizontal="left"/>
    </xf>
    <xf numFmtId="0" fontId="1" fillId="7" borderId="3" xfId="0" applyNumberFormat="1" applyFont="1" applyFill="1" applyBorder="1"/>
    <xf numFmtId="0" fontId="13" fillId="0" borderId="4" xfId="0" applyFont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1" fillId="0" borderId="1" xfId="0" applyFont="1" applyBorder="1" applyAlignment="1"/>
    <xf numFmtId="0" fontId="4" fillId="0" borderId="1" xfId="0" applyFont="1" applyBorder="1" applyAlignment="1"/>
    <xf numFmtId="0" fontId="0" fillId="0" borderId="1" xfId="0" applyBorder="1" applyAlignment="1">
      <alignment horizontal="center"/>
    </xf>
    <xf numFmtId="0" fontId="14" fillId="0" borderId="1" xfId="0" applyFont="1" applyBorder="1"/>
    <xf numFmtId="0" fontId="8" fillId="4" borderId="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9" fillId="0" borderId="0" xfId="0" applyFont="1" applyBorder="1" applyAlignment="1">
      <alignment horizontal="center"/>
    </xf>
    <xf numFmtId="0" fontId="0" fillId="0" borderId="7" xfId="0" applyBorder="1"/>
    <xf numFmtId="0" fontId="6" fillId="5" borderId="8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0" fillId="0" borderId="11" xfId="0" applyBorder="1"/>
    <xf numFmtId="0" fontId="0" fillId="0" borderId="10" xfId="0" applyBorder="1"/>
    <xf numFmtId="0" fontId="1" fillId="0" borderId="17" xfId="0" applyFont="1" applyBorder="1" applyAlignment="1">
      <alignment horizontal="right"/>
    </xf>
    <xf numFmtId="0" fontId="0" fillId="0" borderId="16" xfId="0" applyBorder="1" applyAlignment="1">
      <alignment horizontal="center"/>
    </xf>
    <xf numFmtId="0" fontId="5" fillId="0" borderId="10" xfId="0" applyFont="1" applyBorder="1" applyAlignment="1"/>
    <xf numFmtId="0" fontId="1" fillId="0" borderId="10" xfId="0" applyFont="1" applyBorder="1" applyAlignment="1"/>
    <xf numFmtId="0" fontId="13" fillId="0" borderId="15" xfId="0" applyFont="1" applyBorder="1" applyAlignment="1">
      <alignment horizontal="center"/>
    </xf>
    <xf numFmtId="0" fontId="5" fillId="4" borderId="15" xfId="0" applyFont="1" applyFill="1" applyBorder="1" applyAlignment="1"/>
    <xf numFmtId="0" fontId="5" fillId="0" borderId="15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0" fillId="0" borderId="11" xfId="0" applyFill="1" applyBorder="1"/>
    <xf numFmtId="0" fontId="0" fillId="0" borderId="15" xfId="0" applyBorder="1"/>
    <xf numFmtId="0" fontId="4" fillId="0" borderId="16" xfId="0" applyFont="1" applyBorder="1" applyAlignment="1">
      <alignment horizontal="center"/>
    </xf>
    <xf numFmtId="0" fontId="1" fillId="0" borderId="15" xfId="0" applyFont="1" applyBorder="1" applyAlignment="1">
      <alignment horizontal="right"/>
    </xf>
    <xf numFmtId="0" fontId="4" fillId="0" borderId="16" xfId="0" applyFont="1" applyBorder="1"/>
    <xf numFmtId="0" fontId="1" fillId="0" borderId="18" xfId="0" applyFont="1" applyBorder="1" applyAlignment="1">
      <alignment horizontal="right"/>
    </xf>
    <xf numFmtId="0" fontId="1" fillId="0" borderId="19" xfId="0" applyFont="1" applyBorder="1"/>
    <xf numFmtId="0" fontId="4" fillId="0" borderId="19" xfId="0" applyFont="1" applyBorder="1"/>
    <xf numFmtId="0" fontId="4" fillId="0" borderId="20" xfId="0" applyFont="1" applyBorder="1"/>
    <xf numFmtId="0" fontId="1" fillId="0" borderId="5" xfId="0" applyFont="1" applyBorder="1" applyAlignment="1">
      <alignment horizontal="right"/>
    </xf>
    <xf numFmtId="0" fontId="0" fillId="0" borderId="21" xfId="0" applyFill="1" applyBorder="1"/>
    <xf numFmtId="0" fontId="5" fillId="0" borderId="0" xfId="0" applyFont="1" applyBorder="1" applyAlignment="1"/>
    <xf numFmtId="0" fontId="5" fillId="0" borderId="11" xfId="0" applyFont="1" applyBorder="1" applyAlignment="1"/>
    <xf numFmtId="0" fontId="5" fillId="0" borderId="5" xfId="0" applyFont="1" applyBorder="1" applyAlignment="1"/>
    <xf numFmtId="3" fontId="1" fillId="0" borderId="2" xfId="0" applyNumberFormat="1" applyFont="1" applyFill="1" applyBorder="1" applyAlignment="1">
      <alignment horizontal="center" wrapText="1"/>
    </xf>
    <xf numFmtId="3" fontId="1" fillId="0" borderId="0" xfId="0" applyNumberFormat="1" applyFont="1" applyFill="1" applyBorder="1" applyAlignment="1">
      <alignment horizontal="center" wrapText="1"/>
    </xf>
    <xf numFmtId="3" fontId="0" fillId="0" borderId="0" xfId="0" applyNumberFormat="1" applyFill="1" applyAlignment="1">
      <alignment horizontal="center"/>
    </xf>
    <xf numFmtId="3" fontId="0" fillId="0" borderId="0" xfId="0" applyNumberFormat="1"/>
    <xf numFmtId="0" fontId="13" fillId="8" borderId="23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/>
    </xf>
    <xf numFmtId="0" fontId="13" fillId="8" borderId="19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0" xfId="0" applyFill="1" applyBorder="1"/>
    <xf numFmtId="0" fontId="0" fillId="0" borderId="0" xfId="0" pivotButton="1"/>
    <xf numFmtId="0" fontId="0" fillId="0" borderId="0" xfId="0" applyFont="1" applyAlignment="1">
      <alignment horizontal="left"/>
    </xf>
    <xf numFmtId="0" fontId="1" fillId="7" borderId="0" xfId="0" applyFont="1" applyFill="1" applyAlignment="1">
      <alignment horizontal="left"/>
    </xf>
    <xf numFmtId="0" fontId="0" fillId="0" borderId="0" xfId="0" applyFont="1" applyAlignment="1">
      <alignment horizontal="left" indent="1"/>
    </xf>
    <xf numFmtId="0" fontId="1" fillId="0" borderId="0" xfId="0" applyFont="1" applyAlignment="1">
      <alignment horizontal="left" indent="1"/>
    </xf>
    <xf numFmtId="0" fontId="0" fillId="0" borderId="0" xfId="0" applyFont="1" applyAlignment="1">
      <alignment horizontal="left" indent="2"/>
    </xf>
    <xf numFmtId="0" fontId="0" fillId="0" borderId="0" xfId="0"/>
    <xf numFmtId="9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ill="1"/>
    <xf numFmtId="0" fontId="0" fillId="3" borderId="0" xfId="0" applyFill="1"/>
    <xf numFmtId="0" fontId="0" fillId="0" borderId="0" xfId="0" applyFill="1" applyAlignment="1">
      <alignment wrapText="1"/>
    </xf>
    <xf numFmtId="0" fontId="3" fillId="0" borderId="0" xfId="0" applyFont="1" applyFill="1" applyAlignment="1">
      <alignment wrapText="1"/>
    </xf>
    <xf numFmtId="2" fontId="1" fillId="0" borderId="0" xfId="0" applyNumberFormat="1" applyFont="1" applyFill="1" applyAlignment="1">
      <alignment wrapText="1"/>
    </xf>
    <xf numFmtId="0" fontId="0" fillId="0" borderId="0" xfId="0" applyBorder="1"/>
    <xf numFmtId="0" fontId="1" fillId="7" borderId="2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6" xfId="0" applyBorder="1"/>
    <xf numFmtId="0" fontId="1" fillId="0" borderId="17" xfId="0" applyFont="1" applyBorder="1" applyAlignment="1">
      <alignment horizontal="right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pivotButton="1"/>
    <xf numFmtId="0" fontId="9" fillId="0" borderId="31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0" fillId="9" borderId="0" xfId="0" applyFill="1"/>
    <xf numFmtId="0" fontId="5" fillId="0" borderId="24" xfId="0" applyFont="1" applyFill="1" applyBorder="1" applyAlignment="1">
      <alignment horizontal="center"/>
    </xf>
    <xf numFmtId="0" fontId="1" fillId="0" borderId="16" xfId="0" applyFont="1" applyBorder="1"/>
    <xf numFmtId="0" fontId="0" fillId="0" borderId="6" xfId="0" applyBorder="1"/>
    <xf numFmtId="0" fontId="17" fillId="0" borderId="1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5" fillId="4" borderId="1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10" fillId="6" borderId="8" xfId="0" applyFont="1" applyFill="1" applyBorder="1" applyAlignment="1" applyProtection="1">
      <alignment horizontal="center"/>
      <protection locked="0"/>
    </xf>
    <xf numFmtId="0" fontId="10" fillId="6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16" xfId="0" applyFont="1" applyFill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14" fillId="8" borderId="22" xfId="0" applyFont="1" applyFill="1" applyBorder="1" applyAlignment="1">
      <alignment horizontal="left"/>
    </xf>
    <xf numFmtId="0" fontId="14" fillId="8" borderId="23" xfId="0" applyFont="1" applyFill="1" applyBorder="1" applyAlignment="1">
      <alignment horizontal="left"/>
    </xf>
    <xf numFmtId="0" fontId="14" fillId="8" borderId="15" xfId="0" applyFont="1" applyFill="1" applyBorder="1" applyAlignment="1">
      <alignment horizontal="left"/>
    </xf>
    <xf numFmtId="0" fontId="14" fillId="8" borderId="1" xfId="0" applyFont="1" applyFill="1" applyBorder="1" applyAlignment="1">
      <alignment horizontal="left"/>
    </xf>
    <xf numFmtId="0" fontId="14" fillId="8" borderId="18" xfId="0" applyFont="1" applyFill="1" applyBorder="1" applyAlignment="1">
      <alignment horizontal="left"/>
    </xf>
    <xf numFmtId="0" fontId="14" fillId="8" borderId="19" xfId="0" applyFont="1" applyFill="1" applyBorder="1" applyAlignment="1">
      <alignment horizontal="left"/>
    </xf>
    <xf numFmtId="0" fontId="13" fillId="4" borderId="28" xfId="0" applyFont="1" applyFill="1" applyBorder="1" applyAlignment="1">
      <alignment horizontal="center"/>
    </xf>
    <xf numFmtId="0" fontId="13" fillId="4" borderId="30" xfId="0" applyFont="1" applyFill="1" applyBorder="1" applyAlignment="1">
      <alignment horizontal="center"/>
    </xf>
    <xf numFmtId="0" fontId="13" fillId="4" borderId="29" xfId="0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2" xfId="0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2" fillId="0" borderId="0" xfId="0" applyFont="1"/>
    <xf numFmtId="0" fontId="9" fillId="0" borderId="15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6" xfId="0" applyFill="1" applyBorder="1" applyAlignment="1">
      <alignment horizontal="center"/>
    </xf>
  </cellXfs>
  <cellStyles count="5">
    <cellStyle name="Milliers" xfId="2" builtinId="3"/>
    <cellStyle name="Normal" xfId="0" builtinId="0"/>
    <cellStyle name="Normal 2" xfId="4"/>
    <cellStyle name="Normal 3" xfId="3"/>
    <cellStyle name="Pourcentage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Fiche_intercommunale_2021!$D$26:$D$28</c:f>
              <c:strCache>
                <c:ptCount val="3"/>
                <c:pt idx="0">
                  <c:v>résidences principales</c:v>
                </c:pt>
                <c:pt idx="1">
                  <c:v>résidences secondaires</c:v>
                </c:pt>
                <c:pt idx="2">
                  <c:v>logements vacants</c:v>
                </c:pt>
              </c:strCache>
            </c:strRef>
          </c:cat>
          <c:val>
            <c:numRef>
              <c:f>Fiche_intercommunale_2021!$E$26:$E$28</c:f>
              <c:numCache>
                <c:formatCode>General</c:formatCode>
                <c:ptCount val="3"/>
                <c:pt idx="0">
                  <c:v>68.099999999999994</c:v>
                </c:pt>
                <c:pt idx="1">
                  <c:v>26.4</c:v>
                </c:pt>
                <c:pt idx="2">
                  <c:v>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3160421568467509"/>
          <c:y val="1.5063334474495628E-4"/>
          <c:w val="0.39419502444521815"/>
          <c:h val="0.89840009129293619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Fiche_intercommunale_2021!$D$33</c:f>
              <c:strCache>
                <c:ptCount val="1"/>
                <c:pt idx="0">
                  <c:v>LLS - 1er janvier 2021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Fiche_intercommunale_2021!$E$32:$H$32</c:f>
              <c:strCache>
                <c:ptCount val="4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T4+</c:v>
                </c:pt>
              </c:strCache>
            </c:strRef>
          </c:cat>
          <c:val>
            <c:numRef>
              <c:f>Fiche_intercommunale_2021!$E$33:$H$33</c:f>
              <c:numCache>
                <c:formatCode>General</c:formatCode>
                <c:ptCount val="4"/>
                <c:pt idx="0">
                  <c:v>134</c:v>
                </c:pt>
                <c:pt idx="1">
                  <c:v>1433</c:v>
                </c:pt>
                <c:pt idx="2">
                  <c:v>3175</c:v>
                </c:pt>
                <c:pt idx="3">
                  <c:v>2999</c:v>
                </c:pt>
              </c:numCache>
            </c:numRef>
          </c:val>
        </c:ser>
        <c:ser>
          <c:idx val="1"/>
          <c:order val="1"/>
          <c:tx>
            <c:strRef>
              <c:f>Fiche_intercommunale_2021!$C$34</c:f>
              <c:strCache>
                <c:ptCount val="1"/>
                <c:pt idx="0">
                  <c:v>Demandes - 31 décembre 2020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Fiche_intercommunale_2021!$E$32:$H$32</c:f>
              <c:strCache>
                <c:ptCount val="4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T4+</c:v>
                </c:pt>
              </c:strCache>
            </c:strRef>
          </c:cat>
          <c:val>
            <c:numRef>
              <c:f>Fiche_intercommunale_2021!$E$34:$H$34</c:f>
              <c:numCache>
                <c:formatCode>General</c:formatCode>
                <c:ptCount val="4"/>
                <c:pt idx="0">
                  <c:v>404</c:v>
                </c:pt>
                <c:pt idx="1">
                  <c:v>1535</c:v>
                </c:pt>
                <c:pt idx="2">
                  <c:v>1407</c:v>
                </c:pt>
                <c:pt idx="3">
                  <c:v>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490304"/>
        <c:axId val="123491840"/>
      </c:barChart>
      <c:catAx>
        <c:axId val="12349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91840"/>
        <c:crosses val="autoZero"/>
        <c:auto val="1"/>
        <c:lblAlgn val="ctr"/>
        <c:lblOffset val="100"/>
        <c:noMultiLvlLbl val="0"/>
      </c:catAx>
      <c:valAx>
        <c:axId val="12349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490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(Fiche_intercommunale_2021!$D$57,Fiche_intercommunale_2021!$D$58,Fiche_intercommunale_2021!$D$63,Fiche_intercommunale_2021!$D$64)</c:f>
              <c:strCache>
                <c:ptCount val="4"/>
                <c:pt idx="0">
                  <c:v>Total PLAI</c:v>
                </c:pt>
                <c:pt idx="1">
                  <c:v>PLUS Ménages</c:v>
                </c:pt>
                <c:pt idx="2">
                  <c:v>Total PLS</c:v>
                </c:pt>
                <c:pt idx="3">
                  <c:v>PSLA Ménages</c:v>
                </c:pt>
              </c:strCache>
            </c:strRef>
          </c:cat>
          <c:val>
            <c:numRef>
              <c:f>(Fiche_intercommunale_2021!$E$57,Fiche_intercommunale_2021!$E$58,Fiche_intercommunale_2021!$E$63,Fiche_intercommunale_2021!$E$64)</c:f>
              <c:numCache>
                <c:formatCode>General</c:formatCode>
                <c:ptCount val="4"/>
                <c:pt idx="0">
                  <c:v>265</c:v>
                </c:pt>
                <c:pt idx="1">
                  <c:v>487</c:v>
                </c:pt>
                <c:pt idx="2">
                  <c:v>40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661854768154"/>
          <c:y val="5.1400554097404488E-2"/>
          <c:w val="0.80724231073057617"/>
          <c:h val="0.82842590930908488"/>
        </c:manualLayout>
      </c:layout>
      <c:scatterChart>
        <c:scatterStyle val="lineMarker"/>
        <c:varyColors val="0"/>
        <c:ser>
          <c:idx val="0"/>
          <c:order val="0"/>
          <c:tx>
            <c:strRef>
              <c:f>Fiche_intercommunale_2021!$C$14</c:f>
              <c:strCache>
                <c:ptCount val="1"/>
                <c:pt idx="0">
                  <c:v>Population municipale</c:v>
                </c:pt>
              </c:strCache>
            </c:strRef>
          </c:tx>
          <c:spPr>
            <a:ln w="28575">
              <a:noFill/>
            </a:ln>
          </c:spPr>
          <c:dLbls>
            <c:txPr>
              <a:bodyPr/>
              <a:lstStyle/>
              <a:p>
                <a:pPr>
                  <a:defRPr sz="800"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trendlineType val="linear"/>
            <c:forward val="2"/>
            <c:dispRSqr val="0"/>
            <c:dispEq val="0"/>
          </c:trendline>
          <c:xVal>
            <c:numRef>
              <c:f>Fiche_intercommunale_2021!$C$15:$C$19</c:f>
              <c:numCache>
                <c:formatCode>General</c:formatCode>
                <c:ptCount val="5"/>
                <c:pt idx="0">
                  <c:v>1990</c:v>
                </c:pt>
                <c:pt idx="1">
                  <c:v>1999</c:v>
                </c:pt>
                <c:pt idx="2">
                  <c:v>2008</c:v>
                </c:pt>
                <c:pt idx="3">
                  <c:v>2013</c:v>
                </c:pt>
                <c:pt idx="4">
                  <c:v>2019</c:v>
                </c:pt>
              </c:numCache>
            </c:numRef>
          </c:xVal>
          <c:yVal>
            <c:numRef>
              <c:f>Fiche_intercommunale_2021!$D$15:$D$19</c:f>
              <c:numCache>
                <c:formatCode>General</c:formatCode>
                <c:ptCount val="5"/>
                <c:pt idx="0">
                  <c:v>91381</c:v>
                </c:pt>
                <c:pt idx="1">
                  <c:v>100231</c:v>
                </c:pt>
                <c:pt idx="2">
                  <c:v>118250</c:v>
                </c:pt>
                <c:pt idx="3">
                  <c:v>123905</c:v>
                </c:pt>
                <c:pt idx="4">
                  <c:v>126376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51648"/>
        <c:axId val="125053184"/>
      </c:scatterChart>
      <c:valAx>
        <c:axId val="1250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5053184"/>
        <c:crosses val="autoZero"/>
        <c:crossBetween val="midCat"/>
      </c:valAx>
      <c:valAx>
        <c:axId val="12505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5051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jp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1943099</xdr:colOff>
      <xdr:row>24</xdr:row>
      <xdr:rowOff>19050</xdr:rowOff>
    </xdr:from>
    <xdr:to>
      <xdr:col>2</xdr:col>
      <xdr:colOff>1876424</xdr:colOff>
      <xdr:row>28</xdr:row>
      <xdr:rowOff>133350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542925</xdr:colOff>
      <xdr:row>36</xdr:row>
      <xdr:rowOff>104775</xdr:rowOff>
    </xdr:from>
    <xdr:to>
      <xdr:col>4</xdr:col>
      <xdr:colOff>390526</xdr:colOff>
      <xdr:row>46</xdr:row>
      <xdr:rowOff>95250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190500</xdr:colOff>
      <xdr:row>52</xdr:row>
      <xdr:rowOff>161926</xdr:rowOff>
    </xdr:from>
    <xdr:to>
      <xdr:col>7</xdr:col>
      <xdr:colOff>1209675</xdr:colOff>
      <xdr:row>61</xdr:row>
      <xdr:rowOff>38100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13</xdr:row>
      <xdr:rowOff>38100</xdr:rowOff>
    </xdr:from>
    <xdr:to>
      <xdr:col>1</xdr:col>
      <xdr:colOff>2905126</xdr:colOff>
      <xdr:row>21</xdr:row>
      <xdr:rowOff>152400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152400</xdr:colOff>
      <xdr:row>0</xdr:row>
      <xdr:rowOff>0</xdr:rowOff>
    </xdr:from>
    <xdr:to>
      <xdr:col>0</xdr:col>
      <xdr:colOff>1476375</xdr:colOff>
      <xdr:row>1</xdr:row>
      <xdr:rowOff>3155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1323975" cy="60323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729.446182175925" createdVersion="4" refreshedVersion="4" minRefreshableVersion="3" recordCount="342">
  <cacheSource type="worksheet">
    <worksheetSource ref="A1:Q343" sheet="EPCI"/>
  </cacheSource>
  <cacheFields count="18">
    <cacheField name="code" numFmtId="0">
      <sharedItems containsSemiMixedTypes="0" containsString="0" containsNumber="1" containsInteger="1" minValue="34001" maxValue="34344"/>
    </cacheField>
    <cacheField name="commune" numFmtId="0">
      <sharedItems/>
    </cacheField>
    <cacheField name="code2" numFmtId="0">
      <sharedItems containsSemiMixedTypes="0" containsString="0" containsNumber="1" containsInteger="1" minValue="34001" maxValue="34344"/>
    </cacheField>
    <cacheField name="superficie" numFmtId="0">
      <sharedItems containsSemiMixedTypes="0" containsString="0" containsNumber="1" containsInteger="1" minValue="206" maxValue="9568"/>
    </cacheField>
    <cacheField name="AAV" numFmtId="0">
      <sharedItems/>
    </cacheField>
    <cacheField name="cat AAV" numFmtId="0">
      <sharedItems containsSemiMixedTypes="0" containsString="0" containsNumber="1" containsInteger="1" minValue="11" maxValue="30"/>
    </cacheField>
    <cacheField name="maire" numFmtId="0">
      <sharedItems/>
    </cacheField>
    <cacheField name="CHOP" numFmtId="0">
      <sharedItems/>
    </cacheField>
    <cacheField name="coordination territoriale" numFmtId="0">
      <sharedItems/>
    </cacheField>
    <cacheField name="Agence technique" numFmtId="0">
      <sharedItems/>
    </cacheField>
    <cacheField name="CANTON" numFmtId="0">
      <sharedItems/>
    </cacheField>
    <cacheField name="Binôme" numFmtId="0">
      <sharedItems containsMixedTypes="1" containsNumber="1" containsInteger="1" minValue="0" maxValue="0"/>
    </cacheField>
    <cacheField name="CODE EPCI" numFmtId="0">
      <sharedItems containsSemiMixedTypes="0" containsString="0" containsNumber="1" containsInteger="1" minValue="100002" maxValue="100259" count="17">
        <n v="100258"/>
        <n v="100181"/>
        <n v="100257"/>
        <n v="100033"/>
        <n v="100249"/>
        <n v="100002"/>
        <n v="100031"/>
        <n v="100004"/>
        <n v="100235"/>
        <n v="100248"/>
        <n v="100253"/>
        <n v="100259"/>
        <n v="100017"/>
        <n v="100219"/>
        <n v="100256"/>
        <n v="100016"/>
        <n v="100015"/>
      </sharedItems>
    </cacheField>
    <cacheField name="EPCI" numFmtId="0">
      <sharedItems count="17">
        <s v="CC les Avant-Monts"/>
        <s v="CA Hérault-Méditerranée"/>
        <s v="CC Du Minervois au Caroux en Haut-Languedoc"/>
        <s v="CC des Cévennes Gangeoises et Suménoises"/>
        <s v="CC Grand Orb en Languedoc"/>
        <s v="CA de Béziers-Méditerranée"/>
        <s v="CC Vallée de l'hérault"/>
        <s v="CC du Clermontais"/>
        <s v="CC du Grand Pic Saint-Loup"/>
        <s v="CC Sud-Hérault"/>
        <s v="Montpellier Méditerranée Métropole"/>
        <s v="Sète Agglopôle Méditerranée"/>
        <s v="CC du Pays de Lunel"/>
        <s v="CC Lodévois et Larzac"/>
        <s v="CC des Monts de Lacaune et de la Montagne du Haut Languedoc"/>
        <s v="CA du Pays de l'Or"/>
        <s v="CC la Domitienne"/>
      </sharedItems>
    </cacheField>
    <cacheField name="PAYS" numFmtId="0">
      <sharedItems containsBlank="1"/>
    </cacheField>
    <cacheField name="convention de gestion DIA avec CD34" numFmtId="0">
      <sharedItems/>
    </cacheField>
    <cacheField name="Adhésion CAUE" numFmtId="0">
      <sharedItems/>
    </cacheField>
    <cacheField name="adhésion ODH" numFmtId="0">
      <sharedItems count="4">
        <s v="ODH via PHLV"/>
        <s v="ODH"/>
        <s v="non"/>
        <s v="ODH via OL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eur" refreshedDate="44732.940330555553" createdVersion="4" refreshedVersion="4" minRefreshableVersion="3" recordCount="342">
  <cacheSource type="worksheet">
    <worksheetSource ref="A1:AS343" sheet="PPU"/>
  </cacheSource>
  <cacheFields count="45">
    <cacheField name="code" numFmtId="0">
      <sharedItems containsSemiMixedTypes="0" containsString="0" containsNumber="1" containsInteger="1" minValue="34001" maxValue="34344"/>
    </cacheField>
    <cacheField name="commune" numFmtId="0">
      <sharedItems/>
    </cacheField>
    <cacheField name="epci" numFmtId="0">
      <sharedItems count="17">
        <s v="CC du Pays de Lunel"/>
        <s v="CA de Béziers-Méditerranée"/>
        <s v="CA Hérault-Méditerranée"/>
        <s v="Montpellier Méditerranée Métropole"/>
        <s v="Sète Agglopôle Méditerranée"/>
        <s v="CC la Domitienne"/>
        <s v="CC du Grand Pic Saint-Loup"/>
        <s v="CC les Avant-Monts"/>
        <s v="CC Du Minervois au Caroux en Haut-Languedoc"/>
        <s v="CC des Cévennes Gangeoises et Suménoises"/>
        <s v="CC Grand Orb en Languedoc"/>
        <s v="CC Vallée de l'hérault"/>
        <s v="CC du Clermontais"/>
        <s v="CC Sud-Hérault"/>
        <s v="CC Lodévois et Larzac"/>
        <s v="CC des Monts de Lacaune et de la Montagne du Haut Languedoc"/>
        <s v="CA du Pays de l'Or"/>
      </sharedItems>
    </cacheField>
    <cacheField name="LLS SRU" numFmtId="0">
      <sharedItems containsString="0" containsBlank="1" containsNumber="1" containsInteger="1" minValue="43" maxValue="34941"/>
    </cacheField>
    <cacheField name="LLS SRU manquants" numFmtId="0">
      <sharedItems containsString="0" containsBlank="1" containsNumber="1" containsInteger="1" minValue="132" maxValue="2890"/>
    </cacheField>
    <cacheField name="Libelle SRU" numFmtId="0">
      <sharedItems count="4">
        <s v="SRU - exemptée 2020-2022"/>
        <s v="SRU - carencée"/>
        <s v="SRU"/>
        <s v="commune non SRU"/>
      </sharedItems>
    </cacheField>
    <cacheField name="Taux SRU" numFmtId="0">
      <sharedItems containsBlank="1"/>
    </cacheField>
    <cacheField name="Nombre LLS" numFmtId="0">
      <sharedItems containsSemiMixedTypes="0" containsString="0" containsNumber="1" containsInteger="1" minValue="0" maxValue="29653"/>
    </cacheField>
    <cacheField name="Press. T1" numFmtId="0">
      <sharedItems containsMixedTypes="1" containsNumber="1" minValue="1.5" maxValue="50"/>
    </cacheField>
    <cacheField name="Press. T2" numFmtId="0">
      <sharedItems containsMixedTypes="1" containsNumber="1" minValue="0" maxValue="121"/>
    </cacheField>
    <cacheField name="Press. T3" numFmtId="0">
      <sharedItems containsMixedTypes="1" containsNumber="1" minValue="0" maxValue="47.5"/>
    </cacheField>
    <cacheField name="Press. T4" numFmtId="0">
      <sharedItems containsMixedTypes="1" containsNumber="1" minValue="0" maxValue="59"/>
    </cacheField>
    <cacheField name="Dem LLS T1" numFmtId="0">
      <sharedItems containsBlank="1" containsMixedTypes="1" containsNumber="1" containsInteger="1" minValue="0" maxValue="228" count="40">
        <n v="7"/>
        <n v="10"/>
        <n v="50"/>
        <n v="17"/>
        <n v="4"/>
        <n v="68"/>
        <n v="11"/>
        <n v="9"/>
        <n v="3"/>
        <n v="15"/>
        <n v="12"/>
        <n v="33"/>
        <n v="216"/>
        <n v="105"/>
        <n v="18"/>
        <n v="16"/>
        <n v="49"/>
        <n v="55"/>
        <n v="69"/>
        <n v="29"/>
        <n v="5"/>
        <s v="2 231"/>
        <n v="27"/>
        <n v="22"/>
        <n v="14"/>
        <n v="40"/>
        <n v="21"/>
        <n v="6"/>
        <n v="228"/>
        <n v="23"/>
        <n v="13"/>
        <n v="1"/>
        <m/>
        <n v="0"/>
        <n v="2"/>
        <n v="39"/>
        <n v="20"/>
        <n v="89"/>
        <n v="8"/>
        <n v="47"/>
      </sharedItems>
    </cacheField>
    <cacheField name="Dem LLS T2" numFmtId="0">
      <sharedItems containsBlank="1" containsMixedTypes="1" containsNumber="1" containsInteger="1" minValue="0" maxValue="829"/>
    </cacheField>
    <cacheField name="Dem LLS T3" numFmtId="0">
      <sharedItems containsBlank="1" containsMixedTypes="1" containsNumber="1" containsInteger="1" minValue="0" maxValue="645"/>
    </cacheField>
    <cacheField name="Dem LLS T4" numFmtId="0">
      <sharedItems containsBlank="1" containsMixedTypes="1" containsNumber="1" containsInteger="1" minValue="0" maxValue="426"/>
    </cacheField>
    <cacheField name="LLS 1 pièce" numFmtId="0">
      <sharedItems containsSemiMixedTypes="0" containsString="0" containsNumber="1" containsInteger="1" minValue="0" maxValue="3525"/>
    </cacheField>
    <cacheField name="LLS 2 pièce2" numFmtId="0">
      <sharedItems containsSemiMixedTypes="0" containsString="0" containsNumber="1" containsInteger="1" minValue="0" maxValue="5279"/>
    </cacheField>
    <cacheField name="LLS 3 pièce" numFmtId="0">
      <sharedItems containsSemiMixedTypes="0" containsString="0" containsNumber="1" containsInteger="1" minValue="0" maxValue="11279"/>
    </cacheField>
    <cacheField name="LLS 4 pièce" numFmtId="0">
      <sharedItems containsSemiMixedTypes="0" containsString="0" containsNumber="1" containsInteger="1" minValue="0" maxValue="7315"/>
    </cacheField>
    <cacheField name="LLS 5 pièce +" numFmtId="0">
      <sharedItems containsSemiMixedTypes="0" containsString="0" containsNumber="1" containsInteger="1" minValue="0" maxValue="2255"/>
    </cacheField>
    <cacheField name="taux de vacance dans le parc (en %)" numFmtId="0">
      <sharedItems containsSemiMixedTypes="0" containsString="0" containsNumber="1" minValue="0" maxValue="66.666700000000006"/>
    </cacheField>
    <cacheField name="taux de mobilité dans le parc (en %)" numFmtId="0">
      <sharedItems containsSemiMixedTypes="0" containsString="0" containsNumber="1" minValue="0" maxValue="75"/>
    </cacheField>
    <cacheField name="Taux LLS" numFmtId="9">
      <sharedItems containsSemiMixedTypes="0" containsString="0" containsNumber="1" minValue="0" maxValue="0.2"/>
    </cacheField>
    <cacheField name="Demandes 2019 " numFmtId="0">
      <sharedItems containsSemiMixedTypes="0" containsString="0" containsNumber="1" containsInteger="1" minValue="0" maxValue="17771"/>
    </cacheField>
    <cacheField name="Attributions 2019" numFmtId="0">
      <sharedItems containsSemiMixedTypes="0" containsString="0" containsNumber="1" containsInteger="1" minValue="0" maxValue="2277"/>
    </cacheField>
    <cacheField name="Demandes 2020" numFmtId="0">
      <sharedItems containsSemiMixedTypes="0" containsString="0" containsNumber="1" containsInteger="1" minValue="0" maxValue="17963"/>
    </cacheField>
    <cacheField name="Attributions 2020" numFmtId="0">
      <sharedItems containsSemiMixedTypes="0" containsString="0" containsNumber="1" containsInteger="1" minValue="0" maxValue="1981"/>
    </cacheField>
    <cacheField name="PLAI Jeunes" numFmtId="0">
      <sharedItems containsSemiMixedTypes="0" containsString="0" containsNumber="1" containsInteger="1" minValue="0" maxValue="20"/>
    </cacheField>
    <cacheField name="PLAI Ménages" numFmtId="0">
      <sharedItems containsSemiMixedTypes="0" containsString="0" containsNumber="1" containsInteger="1" minValue="0" maxValue="422"/>
    </cacheField>
    <cacheField name="PLAI hébergementPublics maison relais ou res. d'accueil" numFmtId="0">
      <sharedItems containsSemiMixedTypes="0" containsString="0" containsNumber="1" containsInteger="1" minValue="0" maxValue="52"/>
    </cacheField>
    <cacheField name="PLAI Autres publics spécifiques" numFmtId="0">
      <sharedItems containsSemiMixedTypes="0" containsString="0" containsNumber="1" containsInteger="1" minValue="0" maxValue="335"/>
    </cacheField>
    <cacheField name="PLAI adapté Autres publics spécifiques" numFmtId="0">
      <sharedItems containsSemiMixedTypes="0" containsString="0" containsNumber="1" containsInteger="1" minValue="0" maxValue="18"/>
    </cacheField>
    <cacheField name="PLAI adapté Ménages" numFmtId="0">
      <sharedItems containsSemiMixedTypes="0" containsString="0" containsNumber="1" containsInteger="1" minValue="0" maxValue="30"/>
    </cacheField>
    <cacheField name="PLAI adapté hébergement" numFmtId="0">
      <sharedItems containsSemiMixedTypes="0" containsString="0" containsNumber="1" containsInteger="1" minValue="0" maxValue="32"/>
    </cacheField>
    <cacheField name="LI Etudiants" numFmtId="0">
      <sharedItems containsSemiMixedTypes="0" containsString="0" containsNumber="1" containsInteger="1" minValue="0" maxValue="174"/>
    </cacheField>
    <cacheField name="LI Jeunes" numFmtId="0">
      <sharedItems containsSemiMixedTypes="0" containsString="0" containsNumber="1" containsInteger="1" minValue="0" maxValue="139"/>
    </cacheField>
    <cacheField name="LI Ménages" numFmtId="0">
      <sharedItems containsSemiMixedTypes="0" containsString="0" containsNumber="1" containsInteger="1" minValue="0" maxValue="291"/>
    </cacheField>
    <cacheField name="LI Autres publics spécifiques" numFmtId="0">
      <sharedItems containsSemiMixedTypes="0" containsString="0" containsNumber="1" containsInteger="1" minValue="0" maxValue="182"/>
    </cacheField>
    <cacheField name="PLUS Ménages" numFmtId="0">
      <sharedItems containsSemiMixedTypes="0" containsString="0" containsNumber="1" containsInteger="1" minValue="0" maxValue="791"/>
    </cacheField>
    <cacheField name="PSLA Ménages" numFmtId="0">
      <sharedItems containsSemiMixedTypes="0" containsString="0" containsNumber="1" containsInteger="1" minValue="0" maxValue="85"/>
    </cacheField>
    <cacheField name="Zonage 123" numFmtId="0">
      <sharedItems containsSemiMixedTypes="0" containsString="0" containsNumber="1" containsInteger="1" minValue="2" maxValue="3"/>
    </cacheField>
    <cacheField name="nombre de demandes pour 1 attribution 2019" numFmtId="0">
      <sharedItems containsMixedTypes="1" containsNumber="1" minValue="82.2" maxValue="82.2"/>
    </cacheField>
    <cacheField name="nombre de demandes pour 1 attribution 2020" numFmtId="0">
      <sharedItems containsMixedTypes="1" containsNumber="1" containsInteger="1" minValue="42" maxValue="42"/>
    </cacheField>
    <cacheField name="Zonage CRHH" numFmtId="0">
      <sharedItems containsSemiMixedTypes="0" containsString="0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eur" refreshedDate="44732.964505902775" createdVersion="4" refreshedVersion="4" minRefreshableVersion="3" recordCount="186">
  <cacheSource type="worksheet">
    <worksheetSource ref="A2:Z188" sheet="HLM"/>
  </cacheSource>
  <cacheFields count="26">
    <cacheField name="Étiquettes de lignes" numFmtId="0">
      <sharedItems containsMixedTypes="1" containsNumber="1" containsInteger="1" minValue="34001" maxValue="34344"/>
    </cacheField>
    <cacheField name="epci" numFmtId="0">
      <sharedItems count="18">
        <s v="CC les Avant-Monts"/>
        <s v="CA Hérault-Méditerranée"/>
        <s v="CC Grand Orb en Languedoc"/>
        <s v="CA de Béziers-Méditerranée"/>
        <s v="CC Vallée de l'hérault"/>
        <s v="CC du Clermontais"/>
        <s v="Montpellier Méditerranée Métropole"/>
        <s v="Sète Agglopôle Méditerranée"/>
        <s v="CC du Pays de Lunel"/>
        <s v="CC du Grand Pic Saint-Loup"/>
        <s v="CA du Pays de l'Or"/>
        <s v="CC Sud-Hérault"/>
        <s v="CC des Monts de Lacaune et de la Montagne du Haut Languedoc"/>
        <s v="CC Du Minervois au Caroux en Haut-Languedoc"/>
        <s v="CC Lodévois et Larzac"/>
        <s v="CC la Domitienne"/>
        <s v="CC des Cévennes Gangeoises et Suménoises"/>
        <e v="#N/A"/>
      </sharedItems>
    </cacheField>
    <cacheField name="ACM" numFmtId="0">
      <sharedItems containsString="0" containsBlank="1" containsNumber="1" containsInteger="1" minValue="5" maxValue="23420"/>
    </cacheField>
    <cacheField name="ADAGES" numFmtId="0">
      <sharedItems containsString="0" containsBlank="1" containsNumber="1" containsInteger="1" minValue="11" maxValue="32" count="4">
        <m/>
        <n v="21"/>
        <n v="11"/>
        <n v="32"/>
      </sharedItems>
    </cacheField>
    <cacheField name="CDC habitat" numFmtId="0">
      <sharedItems containsString="0" containsBlank="1" containsNumber="1" containsInteger="1" minValue="34" maxValue="34" count="2">
        <m/>
        <n v="34"/>
      </sharedItems>
    </cacheField>
    <cacheField name="CDC habitat social" numFmtId="0">
      <sharedItems containsString="0" containsBlank="1" containsNumber="1" containsInteger="1" minValue="2" maxValue="2651" count="29">
        <m/>
        <n v="152"/>
        <n v="29"/>
        <n v="403"/>
        <n v="23"/>
        <n v="40"/>
        <n v="20"/>
        <n v="114"/>
        <n v="24"/>
        <n v="51"/>
        <n v="104"/>
        <n v="77"/>
        <n v="224"/>
        <n v="17"/>
        <n v="13"/>
        <n v="3"/>
        <n v="4"/>
        <n v="2"/>
        <n v="803"/>
        <n v="160"/>
        <n v="30"/>
        <n v="54"/>
        <n v="5"/>
        <n v="9"/>
        <n v="57"/>
        <n v="82"/>
        <n v="116"/>
        <n v="35"/>
        <n v="2651"/>
      </sharedItems>
    </cacheField>
    <cacheField name="Entreprendre pour humaniser la dépendance" numFmtId="0">
      <sharedItems containsString="0" containsBlank="1" containsNumber="1" containsInteger="1" minValue="39" maxValue="39" count="2">
        <m/>
        <n v="39"/>
      </sharedItems>
    </cacheField>
    <cacheField name="ERILIA" numFmtId="0">
      <sharedItems containsString="0" containsBlank="1" containsNumber="1" containsInteger="1" minValue="8" maxValue="3205" count="22">
        <m/>
        <n v="55"/>
        <n v="109"/>
        <n v="65"/>
        <n v="336"/>
        <n v="90"/>
        <n v="41"/>
        <n v="192"/>
        <n v="107"/>
        <n v="228"/>
        <n v="157"/>
        <n v="66"/>
        <n v="1148"/>
        <n v="71"/>
        <n v="40"/>
        <n v="180"/>
        <n v="8"/>
        <n v="31"/>
        <n v="27"/>
        <n v="22"/>
        <n v="123"/>
        <n v="3205"/>
      </sharedItems>
    </cacheField>
    <cacheField name="FDI Habitat" numFmtId="0">
      <sharedItems containsString="0" containsBlank="1" containsNumber="1" containsInteger="1" minValue="4" maxValue="5911" count="64">
        <m/>
        <n v="12"/>
        <n v="453"/>
        <n v="24"/>
        <n v="8"/>
        <n v="16"/>
        <n v="65"/>
        <n v="14"/>
        <n v="93"/>
        <n v="80"/>
        <n v="61"/>
        <n v="32"/>
        <n v="9"/>
        <n v="23"/>
        <n v="25"/>
        <n v="124"/>
        <n v="33"/>
        <n v="52"/>
        <n v="81"/>
        <n v="6"/>
        <n v="100"/>
        <n v="46"/>
        <n v="22"/>
        <n v="19"/>
        <n v="21"/>
        <n v="51"/>
        <n v="35"/>
        <n v="5"/>
        <n v="190"/>
        <n v="17"/>
        <n v="260"/>
        <n v="20"/>
        <n v="4"/>
        <n v="239"/>
        <n v="101"/>
        <n v="115"/>
        <n v="49"/>
        <n v="41"/>
        <n v="67"/>
        <n v="18"/>
        <n v="31"/>
        <n v="28"/>
        <n v="861"/>
        <n v="36"/>
        <n v="15"/>
        <n v="7"/>
        <n v="37"/>
        <n v="44"/>
        <n v="102"/>
        <n v="26"/>
        <n v="11"/>
        <n v="10"/>
        <n v="121"/>
        <n v="45"/>
        <n v="139"/>
        <n v="13"/>
        <n v="70"/>
        <n v="92"/>
        <n v="108"/>
        <n v="79"/>
        <n v="54"/>
        <n v="256"/>
        <n v="126"/>
        <n v="5911"/>
      </sharedItems>
    </cacheField>
    <cacheField name="Foncière DI" numFmtId="0">
      <sharedItems containsString="0" containsBlank="1" containsNumber="1" containsInteger="1" minValue="17" maxValue="336"/>
    </cacheField>
    <cacheField name="Foncière RU" numFmtId="0">
      <sharedItems containsString="0" containsBlank="1" containsNumber="1" containsInteger="1" minValue="28" maxValue="28"/>
    </cacheField>
    <cacheField name="Habitat et Humanisme" numFmtId="0">
      <sharedItems containsString="0" containsBlank="1" containsNumber="1" containsInteger="1" minValue="1" maxValue="45"/>
    </cacheField>
    <cacheField name="Hérault Logement" numFmtId="0">
      <sharedItems containsString="0" containsBlank="1" containsNumber="1" containsInteger="1" minValue="2" maxValue="12959"/>
    </cacheField>
    <cacheField name="HLM du LR" numFmtId="0">
      <sharedItems containsString="0" containsBlank="1" containsNumber="1" containsInteger="1" minValue="10" maxValue="10"/>
    </cacheField>
    <cacheField name="ICF" numFmtId="0">
      <sharedItems containsString="0" containsBlank="1" containsNumber="1" containsInteger="1" minValue="12" maxValue="1114"/>
    </cacheField>
    <cacheField name="Immobilière Méditerranéenne (SA HLM de la Vallée du Thoré) : " numFmtId="0">
      <sharedItems containsString="0" containsBlank="1" containsNumber="1" containsInteger="1" minValue="6" maxValue="991"/>
    </cacheField>
    <cacheField name="La Cité-Jardins" numFmtId="0">
      <sharedItems containsString="0" containsBlank="1" containsNumber="1" containsInteger="1" minValue="89" maxValue="181"/>
    </cacheField>
    <cacheField name="OPH Béz.Médit.Habitat" numFmtId="0">
      <sharedItems containsString="0" containsBlank="1" containsNumber="1" containsInteger="1" minValue="5" maxValue="6587"/>
    </cacheField>
    <cacheField name="OPH Sète" numFmtId="0">
      <sharedItems containsString="0" containsBlank="1" containsNumber="1" containsInteger="1" minValue="3" maxValue="3300"/>
    </cacheField>
    <cacheField name="Patrimoine SA Languedocienne" numFmtId="0">
      <sharedItems containsString="0" containsBlank="1" containsNumber="1" containsInteger="1" minValue="12" maxValue="275"/>
    </cacheField>
    <cacheField name="PROMOLOGIS" numFmtId="0">
      <sharedItems containsString="0" containsBlank="1" containsNumber="1" containsInteger="1" minValue="6" maxValue="2690"/>
    </cacheField>
    <cacheField name="Résidence sociale de France" numFmtId="0">
      <sharedItems containsString="0" containsBlank="1" containsNumber="1" containsInteger="1" minValue="142" maxValue="142"/>
    </cacheField>
    <cacheField name="SFHE" numFmtId="0">
      <sharedItems containsString="0" containsBlank="1" containsNumber="1" containsInteger="1" minValue="7" maxValue="2129"/>
    </cacheField>
    <cacheField name="Soliha" numFmtId="0">
      <sharedItems containsString="0" containsBlank="1" containsNumber="1" containsInteger="1" minValue="4" maxValue="4"/>
    </cacheField>
    <cacheField name="Un toit pour tous" numFmtId="0">
      <sharedItems containsString="0" containsBlank="1" containsNumber="1" containsInteger="1" minValue="3" maxValue="1500"/>
    </cacheField>
    <cacheField name="VILOGIA" numFmtId="0">
      <sharedItems containsString="0" containsBlank="1" containsNumber="1" containsInteger="1" minValue="85" maxValue="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eur" refreshedDate="44732.974152662035" createdVersion="4" refreshedVersion="4" minRefreshableVersion="3" recordCount="343">
  <cacheSource type="worksheet">
    <worksheetSource ref="A2:AJ345" sheet="PPR"/>
  </cacheSource>
  <cacheFields count="36">
    <cacheField name="code" numFmtId="0">
      <sharedItems containsSemiMixedTypes="0" containsString="0" containsNumber="1" containsInteger="1" minValue="34" maxValue="34344"/>
    </cacheField>
    <cacheField name="EPCI" numFmtId="0">
      <sharedItems count="18">
        <s v="CC les Avant-Monts"/>
        <s v="CA Hérault-Méditerranée"/>
        <s v="CC Du Minervois au Caroux en Haut-Languedoc"/>
        <s v="CC des Cévennes Gangeoises et Suménoises"/>
        <s v="CC Grand Orb en Languedoc"/>
        <s v="CA de Béziers-Méditerranée"/>
        <s v="CC Vallée de l'hérault"/>
        <s v="CC du Clermontais"/>
        <s v="CC du Grand Pic Saint-Loup"/>
        <s v="CC Sud-Hérault"/>
        <s v="Montpellier Méditerranée Métropole"/>
        <s v="Sète Agglopôle Méditerranée"/>
        <s v="CC du Pays de Lunel"/>
        <s v="CC Lodévois et Larzac"/>
        <s v="CC des Monts de Lacaune et de la Montagne du Haut Languedoc"/>
        <s v="CA du Pays de l'Or"/>
        <s v="CC la Domitienne"/>
        <e v="#N/A"/>
      </sharedItems>
    </cacheField>
    <cacheField name="commune" numFmtId="0">
      <sharedItems/>
    </cacheField>
    <cacheField name="Zonage ABC" numFmtId="0">
      <sharedItems containsBlank="1"/>
    </cacheField>
    <cacheField name="PPPI" numFmtId="164">
      <sharedItems containsMixedTypes="1" containsNumber="1" minValue="5.0000000000000001E-3" maxValue="0.311"/>
    </cacheField>
    <cacheField name="LCI actifs" numFmtId="0">
      <sharedItems containsString="0" containsBlank="1" containsNumber="1" containsInteger="1" minValue="0" maxValue="0"/>
    </cacheField>
    <cacheField name="LCS actifs" numFmtId="0">
      <sharedItems containsString="0" containsBlank="1" containsNumber="1" containsInteger="1" minValue="0" maxValue="0"/>
    </cacheField>
    <cacheField name="LCTS actifs" numFmtId="0">
      <sharedItems containsString="0" containsBlank="1" containsNumber="1" containsInteger="1" minValue="0" maxValue="0"/>
    </cacheField>
    <cacheField name="LI2016" numFmtId="0">
      <sharedItems containsSemiMixedTypes="0" containsString="0" containsNumber="1" containsInteger="1" minValue="0" maxValue="29"/>
    </cacheField>
    <cacheField name="LCS2016" numFmtId="0">
      <sharedItems containsSemiMixedTypes="0" containsString="0" containsNumber="1" containsInteger="1" minValue="0" maxValue="101"/>
    </cacheField>
    <cacheField name="LCTS2016" numFmtId="0">
      <sharedItems containsSemiMixedTypes="0" containsString="0" containsNumber="1" containsInteger="1" minValue="0" maxValue="7"/>
    </cacheField>
    <cacheField name="LI2017" numFmtId="0">
      <sharedItems containsSemiMixedTypes="0" containsString="0" containsNumber="1" containsInteger="1" minValue="0" maxValue="44"/>
    </cacheField>
    <cacheField name="LCS2017" numFmtId="0">
      <sharedItems containsSemiMixedTypes="0" containsString="0" containsNumber="1" containsInteger="1" minValue="0" maxValue="94"/>
    </cacheField>
    <cacheField name="LCTS2017" numFmtId="0">
      <sharedItems containsSemiMixedTypes="0" containsString="0" containsNumber="1" containsInteger="1" minValue="0" maxValue="16"/>
    </cacheField>
    <cacheField name="LI2018" numFmtId="0">
      <sharedItems containsSemiMixedTypes="0" containsString="0" containsNumber="1" containsInteger="1" minValue="0" maxValue="28"/>
    </cacheField>
    <cacheField name="LCS2018" numFmtId="0">
      <sharedItems containsSemiMixedTypes="0" containsString="0" containsNumber="1" containsInteger="1" minValue="0" maxValue="90"/>
    </cacheField>
    <cacheField name="LCTS2018" numFmtId="0">
      <sharedItems containsSemiMixedTypes="0" containsString="0" containsNumber="1" containsInteger="1" minValue="0" maxValue="8"/>
    </cacheField>
    <cacheField name="LI2019" numFmtId="0">
      <sharedItems containsSemiMixedTypes="0" containsString="0" containsNumber="1" containsInteger="1" minValue="0" maxValue="38"/>
    </cacheField>
    <cacheField name="LCS2019" numFmtId="0">
      <sharedItems containsSemiMixedTypes="0" containsString="0" containsNumber="1" containsInteger="1" minValue="0" maxValue="121"/>
    </cacheField>
    <cacheField name="LCTS2019" numFmtId="0">
      <sharedItems containsSemiMixedTypes="0" containsString="0" containsNumber="1" containsInteger="1" minValue="0" maxValue="16"/>
    </cacheField>
    <cacheField name="LI2020" numFmtId="0">
      <sharedItems containsSemiMixedTypes="0" containsString="0" containsNumber="1" containsInteger="1" minValue="0" maxValue="27"/>
    </cacheField>
    <cacheField name="LCS2020" numFmtId="0">
      <sharedItems containsSemiMixedTypes="0" containsString="0" containsNumber="1" containsInteger="1" minValue="0" maxValue="98"/>
    </cacheField>
    <cacheField name="LCTS2020" numFmtId="0">
      <sharedItems containsSemiMixedTypes="0" containsString="0" containsNumber="1" containsInteger="1" minValue="0" maxValue="12"/>
    </cacheField>
    <cacheField name="LI2020_Sanstravaux" numFmtId="0">
      <sharedItems containsSemiMixedTypes="0" containsString="0" containsNumber="1" containsInteger="1" minValue="0" maxValue="15"/>
    </cacheField>
    <cacheField name="LCS2020_Sanstravaux" numFmtId="0">
      <sharedItems containsSemiMixedTypes="0" containsString="0" containsNumber="1" containsInteger="1" minValue="0" maxValue="38"/>
    </cacheField>
    <cacheField name="LCTS2020_Sanstravaux" numFmtId="0">
      <sharedItems containsSemiMixedTypes="0" containsString="0" containsNumber="1" containsInteger="1" minValue="0" maxValue="2"/>
    </cacheField>
    <cacheField name="LI2020_travaux" numFmtId="0">
      <sharedItems containsSemiMixedTypes="0" containsString="0" containsNumber="1" containsInteger="1" minValue="0" maxValue="12"/>
    </cacheField>
    <cacheField name="LCS2020_travaux" numFmtId="0">
      <sharedItems containsSemiMixedTypes="0" containsString="0" containsNumber="1" containsInteger="1" minValue="0" maxValue="60"/>
    </cacheField>
    <cacheField name="LCTS2020_travaux" numFmtId="0">
      <sharedItems containsSemiMixedTypes="0" containsString="0" containsNumber="1" containsInteger="1" minValue="0" maxValue="10"/>
    </cacheField>
    <cacheField name="Nb_log_pp_2020" numFmtId="3">
      <sharedItems containsMixedTypes="1" containsNumber="1" containsInteger="1" minValue="182" maxValue="654624" count="202">
        <n v="882"/>
        <n v="652"/>
        <n v="47942"/>
        <n v="195"/>
        <s v="NC"/>
        <n v="376"/>
        <n v="998"/>
        <n v="1551"/>
        <n v="885"/>
        <n v="292"/>
        <n v="629"/>
        <n v="486"/>
        <n v="328"/>
        <n v="252"/>
        <n v="3219"/>
        <n v="6859"/>
        <n v="1138"/>
        <n v="186"/>
        <n v="912"/>
        <n v="4247"/>
        <n v="322"/>
        <n v="2656"/>
        <n v="43200"/>
        <n v="930"/>
        <n v="803"/>
        <n v="1756"/>
        <n v="1102"/>
        <n v="1062"/>
        <n v="387"/>
        <n v="294"/>
        <n v="352"/>
        <n v="1544"/>
        <n v="1882"/>
        <n v="211"/>
        <n v="11219"/>
        <n v="2686"/>
        <n v="268"/>
        <n v="463"/>
        <n v="1525"/>
        <n v="313"/>
        <n v="330"/>
        <n v="851"/>
        <n v="2603"/>
        <n v="374"/>
        <n v="1168"/>
        <n v="1472"/>
        <n v="349"/>
        <n v="635"/>
        <n v="2119"/>
        <n v="810"/>
        <n v="4540"/>
        <n v="370"/>
        <n v="1255"/>
        <n v="756"/>
        <n v="907"/>
        <n v="540"/>
        <n v="1252"/>
        <n v="2818"/>
        <n v="661"/>
        <n v="3930"/>
        <n v="574"/>
        <n v="3290"/>
        <n v="432"/>
        <n v="2748"/>
        <n v="617"/>
        <n v="398"/>
        <n v="12829"/>
        <n v="592"/>
        <n v="2617"/>
        <n v="2674"/>
        <n v="2694"/>
        <n v="3976"/>
        <n v="672"/>
        <n v="968"/>
        <n v="5248"/>
        <n v="1497"/>
        <n v="964"/>
        <n v="8392"/>
        <n v="1027"/>
        <n v="1399"/>
        <n v="1816"/>
        <n v="780"/>
        <n v="701"/>
        <n v="1529"/>
        <n v="4447"/>
        <n v="1240"/>
        <n v="607"/>
        <n v="11326"/>
        <n v="1676"/>
        <n v="1727"/>
        <n v="2120"/>
        <n v="10016"/>
        <n v="3347"/>
        <n v="922"/>
        <n v="12751"/>
        <n v="1180"/>
        <n v="6608"/>
        <n v="1505"/>
        <n v="1848"/>
        <n v="2245"/>
        <n v="1554"/>
        <n v="1259"/>
        <n v="1421"/>
        <n v="1891"/>
        <n v="143850"/>
        <n v="820"/>
        <n v="433"/>
        <n v="1602"/>
        <n v="796"/>
        <n v="700"/>
        <n v="893"/>
        <n v="2138"/>
        <n v="431"/>
        <n v="297"/>
        <n v="334"/>
        <n v="519"/>
        <n v="1160"/>
        <n v="8662"/>
        <n v="229"/>
        <n v="1939"/>
        <n v="616"/>
        <n v="4834"/>
        <n v="4964"/>
        <n v="246"/>
        <n v="3207"/>
        <n v="941"/>
        <n v="336"/>
        <n v="1451"/>
        <n v="4415"/>
        <n v="1049"/>
        <n v="681"/>
        <n v="2864"/>
        <n v="696"/>
        <n v="2621"/>
        <n v="424"/>
        <n v="643"/>
        <n v="802"/>
        <n v="1809"/>
        <n v="1107"/>
        <n v="685"/>
        <n v="662"/>
        <n v="319"/>
        <n v="1393"/>
        <n v="2819"/>
        <n v="1653"/>
        <n v="453"/>
        <n v="529"/>
        <n v="1146"/>
        <n v="1355"/>
        <n v="1324"/>
        <n v="967"/>
        <n v="2046"/>
        <n v="279"/>
        <n v="277"/>
        <n v="569"/>
        <n v="4330"/>
        <n v="904"/>
        <n v="957"/>
        <n v="2601"/>
        <n v="196"/>
        <n v="1025"/>
        <n v="397"/>
        <n v="5300"/>
        <n v="1291"/>
        <n v="1210"/>
        <n v="1788"/>
        <n v="285"/>
        <n v="1245"/>
        <n v="558"/>
        <n v="1432"/>
        <n v="425"/>
        <n v="329"/>
        <n v="1468"/>
        <n v="333"/>
        <n v="1491"/>
        <n v="2589"/>
        <n v="5276"/>
        <n v="2493"/>
        <n v="29758"/>
        <n v="571"/>
        <n v="273"/>
        <n v="1194"/>
        <n v="1997"/>
        <n v="1550"/>
        <n v="972"/>
        <n v="906"/>
        <n v="182"/>
        <n v="526"/>
        <n v="1024"/>
        <n v="9384"/>
        <n v="876"/>
        <n v="2855"/>
        <n v="550"/>
        <n v="2430"/>
        <n v="5744"/>
        <n v="2359"/>
        <n v="2431"/>
        <n v="4038"/>
        <n v="1774"/>
        <n v="551"/>
        <n v="19804"/>
        <n v="654624"/>
      </sharedItems>
    </cacheField>
    <cacheField name="Nb_logvac_pp_010119" numFmtId="3">
      <sharedItems containsMixedTypes="1" containsNumber="1" containsInteger="1" minValue="24" maxValue="63144" count="145">
        <n v="58"/>
        <n v="48"/>
        <n v="2115"/>
        <n v="33"/>
        <s v="NC"/>
        <n v="42"/>
        <n v="75"/>
        <n v="129"/>
        <n v="108"/>
        <n v="26"/>
        <n v="51"/>
        <n v="61"/>
        <n v="208"/>
        <n v="403"/>
        <n v="24"/>
        <n v="44"/>
        <n v="817"/>
        <n v="31"/>
        <n v="241"/>
        <n v="7089"/>
        <n v="69"/>
        <n v="67"/>
        <n v="184"/>
        <n v="193"/>
        <n v="74"/>
        <n v="38"/>
        <n v="27"/>
        <n v="107"/>
        <n v="229"/>
        <n v="25"/>
        <n v="1016"/>
        <n v="177"/>
        <n v="40"/>
        <n v="138"/>
        <n v="85"/>
        <n v="288"/>
        <n v="50"/>
        <n v="41"/>
        <n v="76"/>
        <n v="160"/>
        <n v="47"/>
        <n v="119"/>
        <n v="558"/>
        <n v="28"/>
        <n v="98"/>
        <n v="96"/>
        <n v="68"/>
        <n v="210"/>
        <n v="183"/>
        <n v="84"/>
        <n v="52"/>
        <n v="192"/>
        <n v="342"/>
        <n v="66"/>
        <n v="53"/>
        <n v="901"/>
        <n v="80"/>
        <n v="526"/>
        <n v="162"/>
        <n v="221"/>
        <n v="369"/>
        <n v="135"/>
        <n v="428"/>
        <n v="254"/>
        <n v="113"/>
        <n v="528"/>
        <n v="103"/>
        <n v="88"/>
        <n v="134"/>
        <n v="71"/>
        <n v="81"/>
        <n v="717"/>
        <n v="102"/>
        <n v="62"/>
        <n v="1105"/>
        <n v="110"/>
        <n v="165"/>
        <n v="151"/>
        <n v="579"/>
        <n v="323"/>
        <n v="1075"/>
        <n v="539"/>
        <n v="90"/>
        <n v="220"/>
        <n v="94"/>
        <n v="82"/>
        <n v="18440"/>
        <n v="36"/>
        <n v="161"/>
        <n v="59"/>
        <n v="228"/>
        <n v="30"/>
        <n v="100"/>
        <n v="194"/>
        <n v="955"/>
        <n v="34"/>
        <n v="383"/>
        <n v="779"/>
        <n v="175"/>
        <n v="91"/>
        <n v="49"/>
        <n v="35"/>
        <n v="101"/>
        <n v="77"/>
        <n v="87"/>
        <n v="171"/>
        <n v="46"/>
        <n v="93"/>
        <n v="215"/>
        <n v="144"/>
        <n v="97"/>
        <n v="72"/>
        <n v="123"/>
        <n v="242"/>
        <n v="106"/>
        <n v="43"/>
        <n v="131"/>
        <n v="212"/>
        <n v="54"/>
        <n v="92"/>
        <n v="79"/>
        <n v="157"/>
        <n v="124"/>
        <n v="312"/>
        <n v="105"/>
        <n v="99"/>
        <n v="376"/>
        <n v="136"/>
        <n v="422"/>
        <n v="199"/>
        <n v="2844"/>
        <n v="73"/>
        <n v="86"/>
        <n v="57"/>
        <n v="524"/>
        <n v="64"/>
        <n v="176"/>
        <n v="117"/>
        <n v="337"/>
        <n v="196"/>
        <n v="277"/>
        <n v="283"/>
        <n v="159"/>
        <n v="891"/>
        <n v="63144"/>
      </sharedItems>
    </cacheField>
    <cacheField name="Nb_logvac_pp_C_010119" numFmtId="3">
      <sharedItems containsMixedTypes="1" containsNumber="1" containsInteger="1" minValue="11" maxValue="45121" count="119">
        <n v="35"/>
        <n v="22"/>
        <n v="1563"/>
        <n v="14"/>
        <s v="NC"/>
        <n v="48"/>
        <n v="86"/>
        <n v="49"/>
        <n v="15"/>
        <n v="36"/>
        <n v="28"/>
        <n v="24"/>
        <n v="172"/>
        <n v="316"/>
        <n v="51"/>
        <n v="11"/>
        <n v="27"/>
        <n v="323"/>
        <n v="16"/>
        <n v="157"/>
        <n v="4543"/>
        <n v="41"/>
        <n v="34"/>
        <n v="133"/>
        <n v="84"/>
        <n v="56"/>
        <n v="25"/>
        <n v="66"/>
        <n v="123"/>
        <n v="12"/>
        <n v="935"/>
        <n v="138"/>
        <n v="26"/>
        <n v="50"/>
        <n v="131"/>
        <n v="17"/>
        <n v="21"/>
        <n v="52"/>
        <n v="63"/>
        <n v="20"/>
        <n v="98"/>
        <n v="31"/>
        <n v="271"/>
        <n v="53"/>
        <n v="156"/>
        <n v="29"/>
        <n v="147"/>
        <n v="18"/>
        <n v="751"/>
        <n v="33"/>
        <n v="252"/>
        <n v="116"/>
        <n v="132"/>
        <n v="346"/>
        <n v="393"/>
        <n v="154"/>
        <n v="91"/>
        <n v="58"/>
        <n v="484"/>
        <n v="59"/>
        <n v="76"/>
        <n v="67"/>
        <n v="42"/>
        <n v="32"/>
        <n v="55"/>
        <n v="422"/>
        <n v="70"/>
        <n v="757"/>
        <n v="85"/>
        <n v="102"/>
        <n v="385"/>
        <n v="242"/>
        <n v="13"/>
        <n v="30"/>
        <n v="889"/>
        <n v="47"/>
        <n v="398"/>
        <n v="64"/>
        <n v="114"/>
        <n v="62"/>
        <n v="71"/>
        <n v="80"/>
        <n v="89"/>
        <n v="15478"/>
        <n v="127"/>
        <n v="771"/>
        <n v="96"/>
        <n v="356"/>
        <n v="485"/>
        <n v="137"/>
        <n v="57"/>
        <n v="169"/>
        <n v="178"/>
        <n v="44"/>
        <n v="149"/>
        <n v="40"/>
        <n v="88"/>
        <n v="38"/>
        <n v="69"/>
        <n v="168"/>
        <n v="94"/>
        <n v="37"/>
        <n v="188"/>
        <n v="45"/>
        <n v="254"/>
        <n v="97"/>
        <n v="83"/>
        <n v="306"/>
        <n v="2112"/>
        <n v="72"/>
        <n v="60"/>
        <n v="151"/>
        <n v="213"/>
        <n v="143"/>
        <n v="165"/>
        <n v="233"/>
        <n v="109"/>
        <n v="790"/>
        <n v="45121"/>
      </sharedItems>
    </cacheField>
    <cacheField name="Nb_logvac_2A_010119" numFmtId="3">
      <sharedItems containsMixedTypes="1" containsNumber="1" containsInteger="1" minValue="11" maxValue="18023"/>
    </cacheField>
    <cacheField name="Prop_logvac_pp_010119" numFmtId="3">
      <sharedItems containsMixedTypes="1" containsNumber="1" minValue="4.0942448821938973" maxValue="2032.1926687069529"/>
    </cacheField>
    <cacheField name="Prop_logvac_pp_C_010119" numFmtId="3">
      <sharedItems containsMixedTypes="1" containsNumber="1" minValue="2.7572016460905351" maxValue="1113.4665279704889"/>
    </cacheField>
    <cacheField name="Prop_logvac_pp_2A_010119" numFmtId="3">
      <sharedItems containsMixedTypes="1" containsNumber="1" minValue="0.50999798020601905" maxValue="918.726140736465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2">
  <r>
    <n v="34001"/>
    <s v="Abeilhan"/>
    <n v="34001"/>
    <n v="787"/>
    <s v="Béziers"/>
    <n v="20"/>
    <s v="Pierre-Jean ROUGEOT"/>
    <s v="Eric Andanson"/>
    <s v="Haut-Languedoc - Ouest Hérault"/>
    <s v="Biterrois"/>
    <s v="Canton 21 - Pézenas"/>
    <s v="Vincent GAUDY et Julie GARCIN SAUDO"/>
    <x v="0"/>
    <x v="0"/>
    <s v=" "/>
    <s v="oui"/>
    <s v="OUI"/>
    <x v="0"/>
  </r>
  <r>
    <n v="34002"/>
    <s v="Adissan"/>
    <n v="34002"/>
    <n v="443"/>
    <s v="Commune hors attraction des villes"/>
    <n v="30"/>
    <s v="Patrick LARIO"/>
    <s v="Elisabeth Pourcel"/>
    <s v="Biterrois"/>
    <s v="Thau - Plaine d'Hérault"/>
    <s v="Canton 14 - Mèze"/>
    <s v="Audrey IMBERT et Christophe MORGO"/>
    <x v="1"/>
    <x v="1"/>
    <s v=" "/>
    <s v="oui"/>
    <s v="OUI"/>
    <x v="1"/>
  </r>
  <r>
    <n v="34003"/>
    <s v="Agde"/>
    <n v="34003"/>
    <n v="5084"/>
    <s v="Agde"/>
    <n v="11"/>
    <s v="Gilles D'ETTORE"/>
    <s v="Elisabeth Pourcel"/>
    <s v="Biterrois"/>
    <s v="Thau - Plaine d'Hérault"/>
    <s v="Canton 01 - Agde"/>
    <s v="Sébastien FREY et Marie-Christine FABRE DE ROUSSAC"/>
    <x v="1"/>
    <x v="1"/>
    <s v=" "/>
    <s v="oui"/>
    <s v="NON"/>
    <x v="1"/>
  </r>
  <r>
    <n v="34004"/>
    <s v="Agel"/>
    <n v="34004"/>
    <n v="1211"/>
    <s v="Commune hors attraction des villes"/>
    <n v="30"/>
    <s v="Patrick CABROL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005"/>
    <s v="Agonès"/>
    <n v="34005"/>
    <n v="415"/>
    <s v="Montpellier"/>
    <n v="20"/>
    <s v="Patrick TRICOU"/>
    <s v="Florence Coulon "/>
    <s v="Coeur d'Hérault - Pic Saint-Loup"/>
    <s v="Pic Saint-Loup"/>
    <s v="Canton 11 - Lodève"/>
    <s v="Jacques RIGAUD et Gaëlle LEVEQUE"/>
    <x v="3"/>
    <x v="3"/>
    <s v="AIGOUAL CEVENNES"/>
    <s v="oui"/>
    <s v="NON"/>
    <x v="2"/>
  </r>
  <r>
    <n v="34006"/>
    <s v="Aigne"/>
    <n v="34006"/>
    <n v="1115"/>
    <s v="Commune hors attraction des villes"/>
    <n v="30"/>
    <s v="Yves FRAISSE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NON"/>
    <x v="0"/>
  </r>
  <r>
    <n v="34007"/>
    <s v="Aigues-Vives"/>
    <n v="34007"/>
    <n v="1279"/>
    <s v="Commune hors attraction des villes"/>
    <n v="30"/>
    <s v="Jean-Pierre BARTHES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NON"/>
    <x v="0"/>
  </r>
  <r>
    <n v="34008"/>
    <s v="Les Aires"/>
    <n v="34008"/>
    <n v="2050"/>
    <s v="Bédarieux"/>
    <n v="12"/>
    <s v="Michel GRANIER"/>
    <s v="Eric Andanson"/>
    <s v="Haut-Languedoc - Ouest Hérault"/>
    <s v="Mont d'Orb"/>
    <s v="Canton 06 - Clermont-l'Hérault"/>
    <s v="Jean-Luc FALIP et Marie PASSIEUX"/>
    <x v="4"/>
    <x v="4"/>
    <s v=" "/>
    <s v="oui"/>
    <s v="NON"/>
    <x v="0"/>
  </r>
  <r>
    <n v="34009"/>
    <s v="Alignan-du-Vent"/>
    <n v="34009"/>
    <n v="1750"/>
    <s v="Béziers"/>
    <n v="20"/>
    <s v="Christophe PASTOR"/>
    <s v="Eric Andanson"/>
    <s v="Biterrois"/>
    <s v="Biterrois"/>
    <s v="Canton 21 - Pézenas"/>
    <s v="Vincent GAUDY et Julie GARCIN SAUDO"/>
    <x v="5"/>
    <x v="5"/>
    <s v=" "/>
    <s v="oui"/>
    <s v="OUI"/>
    <x v="2"/>
  </r>
  <r>
    <n v="34010"/>
    <s v="Aniane"/>
    <n v="34010"/>
    <n v="3039"/>
    <s v="Montpellier"/>
    <n v="20"/>
    <s v="Philippe SALASC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011"/>
    <s v="Arboras"/>
    <n v="34011"/>
    <n v="659"/>
    <s v="Montpellier"/>
    <n v="20"/>
    <s v="Marie-Françoise NACHEZ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012"/>
    <s v="Argelliers"/>
    <n v="34012"/>
    <n v="5066"/>
    <s v="Montpellier"/>
    <n v="20"/>
    <s v="Pierre AMALOU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013"/>
    <s v="Aspiran"/>
    <n v="34013"/>
    <n v="1618"/>
    <s v="Montpellier"/>
    <n v="20"/>
    <s v="Olivier BERNARDI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014"/>
    <s v="Assas"/>
    <n v="34014"/>
    <n v="1927"/>
    <s v="Montpellier"/>
    <n v="20"/>
    <s v="Jacques GRAU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015"/>
    <s v="Assignan"/>
    <n v="34015"/>
    <n v="833"/>
    <s v="Commune hors attraction des villes"/>
    <n v="30"/>
    <s v="Rémy SOULIÉ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16"/>
    <s v="Aumelas"/>
    <n v="34016"/>
    <n v="5845"/>
    <s v="Montpellier"/>
    <n v="20"/>
    <s v="Ronny PONCÉ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017"/>
    <s v="Aumes"/>
    <n v="34017"/>
    <n v="737"/>
    <s v="Pézenas"/>
    <n v="20"/>
    <s v="Michel GUTTON"/>
    <s v="Elisabeth Pourcel"/>
    <s v="Biterrois"/>
    <s v="Thau - Plaine d'Hérault"/>
    <s v="Canton 14 - Mèze"/>
    <s v="Audrey IMBERT et Christophe MORGO"/>
    <x v="1"/>
    <x v="1"/>
    <s v=" "/>
    <s v="oui"/>
    <s v="OUI"/>
    <x v="1"/>
  </r>
  <r>
    <n v="34018"/>
    <s v="Autignac"/>
    <n v="34018"/>
    <n v="1166"/>
    <s v="Béziers"/>
    <n v="20"/>
    <s v="Jean-Claude MARCHI"/>
    <s v="Eric Andanson"/>
    <s v="Haut-Languedoc - Ouest Hérault"/>
    <s v="Biterrois"/>
    <s v="Canton 05 - Cazouls-lès-Béziers"/>
    <s v="Séverine SAUR et Philippe VIDAL"/>
    <x v="0"/>
    <x v="0"/>
    <s v=" "/>
    <s v="oui"/>
    <s v="OUI"/>
    <x v="0"/>
  </r>
  <r>
    <n v="34019"/>
    <s v="Avène"/>
    <n v="34019"/>
    <n v="6215"/>
    <s v="Commune hors attraction des villes"/>
    <n v="30"/>
    <s v="Serge CASTAN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020"/>
    <s v="Azillanet"/>
    <n v="34020"/>
    <n v="1431"/>
    <s v="Commune hors attraction des villes"/>
    <n v="30"/>
    <s v="Alexandre DYE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NON"/>
    <x v="0"/>
  </r>
  <r>
    <n v="34021"/>
    <s v="Babeau-Bouldoux"/>
    <n v="34021"/>
    <n v="2131"/>
    <s v="Commune hors attraction des villes"/>
    <n v="30"/>
    <s v="Jérome ROGER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NON"/>
    <x v="0"/>
  </r>
  <r>
    <n v="34022"/>
    <s v="Baillargues"/>
    <n v="34022"/>
    <n v="770"/>
    <s v="Montpellier"/>
    <n v="20"/>
    <s v="Jean-Luc MEISSONNIER"/>
    <s v="Florence Coulon "/>
    <s v="Montpelliérain"/>
    <s v="Métropole"/>
    <s v="Canton 07 - Le Crès"/>
    <s v="Yvon PELLET et Claudine VASSAS-MEJRI "/>
    <x v="10"/>
    <x v="10"/>
    <s v=" "/>
    <s v="non"/>
    <s v="NON"/>
    <x v="3"/>
  </r>
  <r>
    <n v="34023"/>
    <s v="Balaruc-les-Bains"/>
    <n v="34023"/>
    <n v="870"/>
    <s v="Montpellier"/>
    <n v="20"/>
    <s v="Norbert CHAPLIN "/>
    <s v="Elisabeth Pourcel"/>
    <s v="Etang de Thau"/>
    <s v="Thau - Plaine d'Hérault"/>
    <s v="Canton 08 - Frontignan"/>
    <s v="Pierre BOULDOIRE et Sylvie PRADELLE"/>
    <x v="11"/>
    <x v="11"/>
    <s v=" "/>
    <s v="oui"/>
    <s v="NON"/>
    <x v="3"/>
  </r>
  <r>
    <n v="34024"/>
    <s v="Balaruc-le-Vieux"/>
    <n v="34024"/>
    <n v="688"/>
    <s v="Montpellier"/>
    <n v="20"/>
    <s v="Gérard CANOVAS"/>
    <s v="Elisabeth Pourcel"/>
    <s v="Etang de Thau"/>
    <s v="Thau - Plaine d'Hérault"/>
    <s v="Canton 08 - Frontignan"/>
    <s v="Pierre BOULDOIRE et Sylvie PRADELLE"/>
    <x v="11"/>
    <x v="11"/>
    <s v=" "/>
    <s v="oui"/>
    <s v="OUI"/>
    <x v="3"/>
  </r>
  <r>
    <n v="34025"/>
    <s v="Bassan"/>
    <n v="34025"/>
    <n v="685"/>
    <s v="Béziers"/>
    <n v="20"/>
    <s v="Alain BIOLA"/>
    <s v="Eric Andanson"/>
    <s v="Biterrois"/>
    <s v="Biterrois"/>
    <s v="Canton 04 - Béziers 3"/>
    <s v="Nicole ZENON et Marie-Emmanuelle CAMOUS"/>
    <x v="5"/>
    <x v="5"/>
    <s v=" "/>
    <s v="oui"/>
    <s v="OUI"/>
    <x v="2"/>
  </r>
  <r>
    <n v="34026"/>
    <s v="Beaufort"/>
    <n v="34026"/>
    <n v="607"/>
    <s v="Narbonne"/>
    <n v="20"/>
    <s v="Claude PICHON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NON"/>
    <x v="0"/>
  </r>
  <r>
    <n v="34027"/>
    <s v="Beaulieu"/>
    <n v="34027"/>
    <n v="786"/>
    <s v="Montpellier"/>
    <n v="20"/>
    <s v="Arnaud MOYNIER"/>
    <s v="Florence Coulon "/>
    <s v="Montpelliérain"/>
    <s v="Métropole"/>
    <s v="Canton 07 - Le Crès"/>
    <s v="Yvon PELLET et Claudine VASSAS-MEJRI "/>
    <x v="10"/>
    <x v="10"/>
    <s v=" "/>
    <s v="oui"/>
    <s v="NON"/>
    <x v="3"/>
  </r>
  <r>
    <n v="34028"/>
    <s v="Bédarieux"/>
    <n v="34028"/>
    <n v="2812"/>
    <s v="Bédarieux"/>
    <n v="11"/>
    <s v="Francis BARSSE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029"/>
    <s v="Bélarga"/>
    <n v="34029"/>
    <n v="415"/>
    <s v="Montpellier"/>
    <n v="20"/>
    <s v="José MARTINEZ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030"/>
    <s v="Berlou"/>
    <n v="34030"/>
    <n v="1128"/>
    <s v="Commune hors attraction des villes"/>
    <n v="30"/>
    <s v="Christian LIGNON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031"/>
    <s v="Bessan"/>
    <n v="34031"/>
    <n v="2790"/>
    <s v="Agde"/>
    <n v="20"/>
    <s v="Stéphane PEPIN-BONET"/>
    <s v="Elisabeth Pourcel"/>
    <s v="Biterrois"/>
    <s v="Thau - Plaine d'Hérault"/>
    <s v="Canton 01 - Agde"/>
    <s v="Sébastien FREY et Marie-Christine FABRE DE ROUSSAC"/>
    <x v="1"/>
    <x v="1"/>
    <s v=" "/>
    <s v="oui"/>
    <s v="OUI"/>
    <x v="1"/>
  </r>
  <r>
    <n v="34032"/>
    <s v="Béziers"/>
    <n v="34032"/>
    <n v="9568"/>
    <s v="Béziers"/>
    <n v="11"/>
    <s v="Robert MENARD"/>
    <s v="Eric Andanson"/>
    <s v="Biterrois"/>
    <s v="Biterrois"/>
    <s v="Canton 03 - 04 - 05 Béziers 1 2 3"/>
    <n v="0"/>
    <x v="5"/>
    <x v="5"/>
    <s v=" "/>
    <s v="non"/>
    <s v="NON"/>
    <x v="2"/>
  </r>
  <r>
    <n v="34033"/>
    <s v="Boisseron"/>
    <n v="34033"/>
    <n v="752"/>
    <s v="Montpellier"/>
    <n v="20"/>
    <s v="Loïc FATACCIOLI"/>
    <s v="Florence Coulon "/>
    <s v="Petite Camargue"/>
    <s v="Petite Camargue"/>
    <s v="Canton 12 - Lunel"/>
    <s v="JEROME BOISSON et PAULETTE GOUGEON"/>
    <x v="12"/>
    <x v="12"/>
    <s v=" "/>
    <s v="oui"/>
    <s v="OUI"/>
    <x v="1"/>
  </r>
  <r>
    <n v="34034"/>
    <s v="Boisset"/>
    <n v="34034"/>
    <n v="1743"/>
    <s v="Commune hors attraction des villes"/>
    <n v="30"/>
    <s v="Benoit MARSAUX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035"/>
    <s v="La Boissière"/>
    <n v="34035"/>
    <n v="2445"/>
    <s v="Montpellier"/>
    <n v="20"/>
    <s v="Jean-Claude CROS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036"/>
    <s v="Le Bosc"/>
    <n v="34036"/>
    <n v="2802"/>
    <s v="Montpellier"/>
    <n v="20"/>
    <s v="Jérôme VALAT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037"/>
    <s v="Boujan-sur-Libron"/>
    <n v="34037"/>
    <n v="703"/>
    <s v="Béziers"/>
    <n v="20"/>
    <s v="Gérard ABELLA"/>
    <s v="Eric Andanson"/>
    <s v="Biterrois"/>
    <s v="Biterrois"/>
    <s v="Canton 04 - Béziers 3"/>
    <s v="Nicole ZENON et Marie-Emmanuelle CAMOUS"/>
    <x v="5"/>
    <x v="5"/>
    <s v=" "/>
    <s v="oui"/>
    <s v="NON"/>
    <x v="2"/>
  </r>
  <r>
    <n v="34038"/>
    <s v="Le Bousquet-d'Orb"/>
    <n v="34038"/>
    <n v="1186"/>
    <s v="Bédarieux"/>
    <n v="20"/>
    <s v="Yvan CASSILI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039"/>
    <s v="Bouzigues"/>
    <n v="34039"/>
    <n v="654"/>
    <s v="Montpellier"/>
    <n v="20"/>
    <s v="Cédric RAJA"/>
    <s v="Elisabeth Pourcel"/>
    <s v="Etang de Thau"/>
    <s v="Thau - Plaine d'Hérault"/>
    <s v="Canton 14 - Mèze"/>
    <s v="Audrey IMBERT et Christophe MORGO"/>
    <x v="11"/>
    <x v="11"/>
    <s v=" "/>
    <s v="oui"/>
    <s v="OUI"/>
    <x v="3"/>
  </r>
  <r>
    <n v="34040"/>
    <s v="Brenas"/>
    <n v="34040"/>
    <n v="1060"/>
    <s v="Bédarieux"/>
    <n v="20"/>
    <s v="Michel VELLAS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041"/>
    <s v="Brignac"/>
    <n v="34041"/>
    <n v="474"/>
    <s v="Montpellier"/>
    <n v="20"/>
    <s v="Marina BOURREL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042"/>
    <s v="Brissac"/>
    <n v="34042"/>
    <n v="4397"/>
    <s v="Montpellier"/>
    <n v="20"/>
    <s v="Jean-Claude RODRIGUEZ"/>
    <s v="Florence Coulon "/>
    <s v="Coeur d'Hérault - Pic Saint-Loup"/>
    <s v="Pic Saint-Loup"/>
    <s v="Canton 11 - Lodève"/>
    <s v="Jacques RIGAUD et Gaëlle LEVEQUE"/>
    <x v="3"/>
    <x v="3"/>
    <s v="AIGOUAL CEVENNES"/>
    <s v="oui"/>
    <s v="OUI"/>
    <x v="2"/>
  </r>
  <r>
    <n v="34043"/>
    <s v="Buzignargues"/>
    <n v="34043"/>
    <n v="465"/>
    <s v="Montpellier"/>
    <n v="20"/>
    <s v="Agnès ROUVIERE-ESPOSITO"/>
    <s v="Florence Coulon "/>
    <s v="Coeur d'Hérault - Pic Saint-Loup"/>
    <s v="Petite Camargue"/>
    <s v="Canton 23 - Saint-Gély-du-Fesc"/>
    <s v="Laurence CRISTOL et Kléber MESQUIDA"/>
    <x v="8"/>
    <x v="8"/>
    <s v=" "/>
    <s v="oui"/>
    <s v="NON"/>
    <x v="1"/>
  </r>
  <r>
    <n v="34044"/>
    <s v="Cabrerolles"/>
    <n v="34044"/>
    <n v="2863"/>
    <s v="Commune hors attraction des villes"/>
    <n v="30"/>
    <s v="Séverine SAUR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045"/>
    <s v="Cabrières"/>
    <n v="34045"/>
    <n v="2891"/>
    <s v="Commune hors attraction des villes"/>
    <n v="30"/>
    <s v="Myriam GAIRAUD"/>
    <s v="Elisabeth Pourcel"/>
    <s v="Coeur d'Hérault - Pic Saint-Loup"/>
    <s v="Coeur d'Hérault"/>
    <s v="Canton 14 - Mèze"/>
    <s v="Audrey IMBERT et Christophe MORGO"/>
    <x v="7"/>
    <x v="7"/>
    <s v="LARZAC COEUR D'HERAULT"/>
    <s v="oui"/>
    <s v="NON"/>
    <x v="2"/>
  </r>
  <r>
    <n v="34046"/>
    <s v="Cambon-et-Salvergues"/>
    <n v="34046"/>
    <n v="4998"/>
    <s v="Commune hors attraction des villes"/>
    <n v="30"/>
    <s v="Marie CASARES"/>
    <s v="Eric Andanson"/>
    <s v="Haut-Languedoc - Ouest Hérault"/>
    <s v="Haut Languedoc"/>
    <s v="Canton 24 - Saint-Pons-de-Thomières"/>
    <s v="Marie-Pierre PONS et GABRIEL BLASCO"/>
    <x v="14"/>
    <x v="14"/>
    <s v=" "/>
    <s v="oui"/>
    <s v="NON"/>
    <x v="2"/>
  </r>
  <r>
    <n v="34047"/>
    <s v="Campagnan"/>
    <n v="34047"/>
    <n v="380"/>
    <s v="Montpellier"/>
    <n v="20"/>
    <s v="Jean-Marc ISURE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048"/>
    <s v="Campagne"/>
    <n v="34048"/>
    <n v="491"/>
    <s v="Montpellier"/>
    <n v="20"/>
    <s v="Jacques GRAVEGEAL"/>
    <s v="Florence Coulon "/>
    <s v="Petite Camargue"/>
    <s v="Petite Camargue"/>
    <s v="Canton 12 - Lunel"/>
    <s v="JEROME BOISSON et PAULETTE GOUGEON"/>
    <x v="12"/>
    <x v="12"/>
    <s v=" "/>
    <s v="oui"/>
    <s v="OUI"/>
    <x v="1"/>
  </r>
  <r>
    <n v="34049"/>
    <s v="Camplong"/>
    <n v="34049"/>
    <n v="1311"/>
    <s v="Bédarieux"/>
    <n v="20"/>
    <s v="Bernard COSTE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050"/>
    <s v="Candillargues"/>
    <n v="34050"/>
    <n v="851"/>
    <s v="Montpellier"/>
    <n v="20"/>
    <s v="Anthony MELIN"/>
    <s v="Florence Coulon "/>
    <s v="Petite Camargue"/>
    <s v="Petite Camargue"/>
    <s v="Canton 13 - Mauguio"/>
    <s v="Brice BONNEFOUX et PATRICIA MOULLIN-TRAFFORT"/>
    <x v="15"/>
    <x v="15"/>
    <s v=" "/>
    <s v="oui"/>
    <s v="OUI"/>
    <x v="1"/>
  </r>
  <r>
    <n v="34051"/>
    <s v="Canet"/>
    <n v="34051"/>
    <n v="734"/>
    <s v="Montpellier"/>
    <n v="20"/>
    <s v="Claude REVEL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052"/>
    <s v="Capestang"/>
    <n v="34052"/>
    <n v="4052"/>
    <s v="Béziers"/>
    <n v="20"/>
    <s v="Pierre POLARD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53"/>
    <s v="Carlencas-et-Levas"/>
    <n v="34053"/>
    <n v="1082"/>
    <s v="Bédarieux"/>
    <n v="20"/>
    <s v="Sylvie TOLUAFÉ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054"/>
    <s v="Cassagnoles"/>
    <n v="34054"/>
    <n v="2411"/>
    <s v="Commune hors attraction des villes"/>
    <n v="30"/>
    <s v="Harmonie GONZALEZ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055"/>
    <s v="Castanet-le-Haut"/>
    <n v="34055"/>
    <n v="2743"/>
    <s v="Commune hors attraction des villes"/>
    <n v="30"/>
    <s v="Max ALLIES"/>
    <s v="Eric Andanson"/>
    <s v="Haut-Languedoc - Ouest Hérault"/>
    <s v="Mont d'Orb"/>
    <s v="Canton 24 - Saint-Pons-de-Thomières"/>
    <s v="Marie-Pierre PONS et GABRIEL BLASCO"/>
    <x v="14"/>
    <x v="14"/>
    <s v=" "/>
    <s v="oui"/>
    <s v="NON"/>
    <x v="2"/>
  </r>
  <r>
    <n v="34056"/>
    <s v="Castelnau-de-Guers"/>
    <n v="34056"/>
    <n v="2266"/>
    <s v="Pézenas"/>
    <n v="20"/>
    <s v="Didier MICHEL"/>
    <s v="Elisabeth Pourcel"/>
    <s v="Biterrois"/>
    <s v="Thau - Plaine d'Hérault"/>
    <s v="Canton 21 - Pézenas"/>
    <s v="Vincent GAUDY et Julie GARCIN SAUDO"/>
    <x v="1"/>
    <x v="1"/>
    <s v=" "/>
    <s v="oui"/>
    <s v="NON"/>
    <x v="1"/>
  </r>
  <r>
    <n v="34057"/>
    <s v="Castelnau-le-Lez"/>
    <n v="34057"/>
    <n v="1110"/>
    <s v="Montpellier"/>
    <n v="12"/>
    <s v="Frédéric LAFFORGUE"/>
    <s v="Florence Coulon "/>
    <s v="Montpelliérain"/>
    <s v="Métropole"/>
    <s v="Canton 20 - Montpellier - Castelnau-le-Lez"/>
    <s v="JACQUELINE MARKOVIC et Renaud CALVAT"/>
    <x v="10"/>
    <x v="10"/>
    <s v=" "/>
    <s v="non"/>
    <s v="NON"/>
    <x v="3"/>
  </r>
  <r>
    <n v="34058"/>
    <s v="Castries"/>
    <n v="34058"/>
    <n v="2408"/>
    <s v="Montpellier"/>
    <n v="20"/>
    <s v="Claudine VASSAS-MEJRI "/>
    <s v="Florence Coulon "/>
    <s v="Montpelliérain"/>
    <s v="Métropole"/>
    <s v="Canton 07 - Le Crès"/>
    <s v="Yvon PELLET et Claudine VASSAS-MEJRI "/>
    <x v="10"/>
    <x v="10"/>
    <s v=" "/>
    <s v="oui"/>
    <s v="OUI"/>
    <x v="3"/>
  </r>
  <r>
    <n v="34059"/>
    <s v="La Caunette"/>
    <n v="34059"/>
    <n v="2167"/>
    <s v="Commune hors attraction des villes"/>
    <n v="30"/>
    <s v="Max FABRE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060"/>
    <s v="Causse-de-la-Selle"/>
    <n v="34060"/>
    <n v="4509"/>
    <s v="Montpellier"/>
    <n v="20"/>
    <s v="Philippe DOUTREMEPUICH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061"/>
    <s v="Causses-et-Veyran"/>
    <n v="34061"/>
    <n v="1786"/>
    <s v="Béziers"/>
    <n v="20"/>
    <s v="Gérard BARO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062"/>
    <s v="Caussiniojouls"/>
    <n v="34062"/>
    <n v="1051"/>
    <s v="Béziers"/>
    <n v="20"/>
    <s v="Thierry ROQUE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063"/>
    <s v="Caux"/>
    <n v="34063"/>
    <n v="2502"/>
    <s v="Pézenas"/>
    <n v="20"/>
    <s v="Jean-Charles DESPLAN"/>
    <s v="Elisabeth Pourcel"/>
    <s v="Biterrois"/>
    <s v="Thau - Plaine d'Hérault"/>
    <s v="Canton 21 - Pézenas"/>
    <s v="Vincent GAUDY et Julie GARCIN SAUDO"/>
    <x v="1"/>
    <x v="1"/>
    <s v=" "/>
    <s v="oui"/>
    <s v="NON"/>
    <x v="1"/>
  </r>
  <r>
    <n v="34064"/>
    <s v="Le Caylar"/>
    <n v="34064"/>
    <n v="2244"/>
    <s v="Commune hors attraction des villes"/>
    <n v="30"/>
    <s v="Jean TRINQUIER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065"/>
    <s v="Cazedarnes"/>
    <n v="34065"/>
    <n v="1162"/>
    <s v="Béziers"/>
    <n v="20"/>
    <s v="Thierry CAZALS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66"/>
    <s v="Cazevieille"/>
    <n v="34066"/>
    <n v="1619"/>
    <s v="Montpellier"/>
    <n v="20"/>
    <s v="Jean VALLON"/>
    <s v="Florence Coulon "/>
    <s v="Coeur d'Hérault - Pic Saint-Loup"/>
    <s v="Pic Saint-Loup"/>
    <s v="Canton 23 - Saint-Gély-du-Fesc"/>
    <s v="Laurence CRISTOL et Kléber MESQUIDA"/>
    <x v="8"/>
    <x v="8"/>
    <s v=" "/>
    <s v="oui"/>
    <s v="NON"/>
    <x v="1"/>
  </r>
  <r>
    <n v="34067"/>
    <s v="Cazilhac"/>
    <n v="34067"/>
    <n v="1181"/>
    <s v="Commune hors attraction des villes"/>
    <n v="30"/>
    <s v="Pierre COMPAN"/>
    <s v="Florence Coulon "/>
    <s v="Coeur d'Hérault - Pic Saint-Loup"/>
    <s v="Pic Saint-Loup"/>
    <s v="Canton 11 - Lodève"/>
    <s v="Jacques RIGAUD et Gaëlle LEVEQUE"/>
    <x v="3"/>
    <x v="3"/>
    <s v="AIGOUAL CEVENNES"/>
    <s v="oui"/>
    <s v="NON"/>
    <x v="2"/>
  </r>
  <r>
    <n v="34068"/>
    <s v="Cazouls-d'Hérault"/>
    <n v="34068"/>
    <n v="436"/>
    <s v="Pézenas"/>
    <n v="20"/>
    <s v="Henry SANCHEZ"/>
    <s v="Elisabeth Pourcel"/>
    <s v="Biterrois"/>
    <s v="Thau - Plaine d'Hérault"/>
    <s v="Canton 14 - Mèze"/>
    <s v="Audrey IMBERT et Christophe MORGO"/>
    <x v="1"/>
    <x v="1"/>
    <s v=" "/>
    <s v="oui"/>
    <s v="NON"/>
    <x v="1"/>
  </r>
  <r>
    <n v="34069"/>
    <s v="Cazouls-lès-Béziers"/>
    <n v="34069"/>
    <n v="3835"/>
    <s v="Béziers"/>
    <n v="20"/>
    <s v="Philippe VIDAL"/>
    <s v="Eric Andanson"/>
    <s v="Haut-Languedoc - Ouest Hérault"/>
    <s v="Biterrois"/>
    <s v="Canton 05 - Cazouls-lès-Béziers"/>
    <s v="Séverine SAUR et Philippe VIDAL"/>
    <x v="16"/>
    <x v="16"/>
    <s v=" "/>
    <s v="oui"/>
    <s v="OUI"/>
    <x v="2"/>
  </r>
  <r>
    <n v="34070"/>
    <s v="Cébazan"/>
    <n v="34070"/>
    <n v="1301"/>
    <s v="Béziers"/>
    <n v="20"/>
    <s v="Marc FIDEL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71"/>
    <s v="Ceilhes-et-Rocozels"/>
    <n v="34071"/>
    <n v="2795"/>
    <s v="Commune hors attraction des villes"/>
    <n v="30"/>
    <s v="Fabien SOULAGE 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072"/>
    <s v="Celles"/>
    <n v="34072"/>
    <n v="761"/>
    <s v="Commune hors attraction des villes"/>
    <n v="30"/>
    <s v="Joëlle GOUDAL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073"/>
    <s v="Cers"/>
    <n v="34073"/>
    <n v="803"/>
    <s v="Béziers"/>
    <n v="20"/>
    <s v="Didier BRESSON"/>
    <s v="Eric Andanson"/>
    <s v="Biterrois"/>
    <s v="Biterrois"/>
    <s v="Canton 04 - Béziers 3"/>
    <s v="Nicole ZENON et Marie-Emmanuelle CAMOUS"/>
    <x v="5"/>
    <x v="5"/>
    <s v=" "/>
    <s v="oui"/>
    <s v="OUI"/>
    <x v="2"/>
  </r>
  <r>
    <n v="34074"/>
    <s v="Cessenon-sur-Orb"/>
    <n v="34074"/>
    <n v="3683"/>
    <s v="Béziers"/>
    <n v="20"/>
    <s v="Marie-Pierre PONS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75"/>
    <s v="Cesseras"/>
    <n v="34075"/>
    <n v="1497"/>
    <s v="Commune hors attraction des villes"/>
    <n v="30"/>
    <s v="Magali GUIRAUD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076"/>
    <s v="Ceyras"/>
    <n v="34076"/>
    <n v="693"/>
    <s v="Montpellier"/>
    <n v="20"/>
    <s v="Jean-Claude LACROIX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077"/>
    <s v="Clapiers"/>
    <n v="34077"/>
    <n v="767"/>
    <s v="Montpellier"/>
    <n v="20"/>
    <s v="Eric PENSO"/>
    <s v="Florence Coulon "/>
    <s v="Montpelliérain"/>
    <s v="Métropole"/>
    <s v="Canton 20 - Montpellier - Castelnau-le-Lez"/>
    <s v="JACQUELINE MARKOVIC et Renaud CALVAT"/>
    <x v="10"/>
    <x v="10"/>
    <s v=" "/>
    <s v="oui"/>
    <s v="OUI"/>
    <x v="3"/>
  </r>
  <r>
    <n v="34078"/>
    <s v="Claret"/>
    <n v="34078"/>
    <n v="2847"/>
    <s v="Montpellier"/>
    <n v="20"/>
    <s v="Philippe TOURRIER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079"/>
    <s v="Clermont-l'Hérault"/>
    <n v="34079"/>
    <n v="3284"/>
    <s v="Montpellier"/>
    <n v="20"/>
    <s v="Gérard BESSIERE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OUI"/>
    <x v="2"/>
  </r>
  <r>
    <n v="34080"/>
    <s v="Colombières-sur-Orb"/>
    <n v="34080"/>
    <n v="813"/>
    <s v="Bédarieux"/>
    <n v="20"/>
    <s v="Thérèse SALAVIN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081"/>
    <s v="Colombiers"/>
    <n v="34081"/>
    <n v="1023"/>
    <s v="Béziers"/>
    <n v="20"/>
    <s v="Alain CARALP"/>
    <s v="Eric Andanson"/>
    <s v="Haut-Languedoc - Ouest Hérault"/>
    <s v="Biterrois"/>
    <s v="Canton 05 - Cazouls-lès-Béziers"/>
    <s v="Séverine SAUR et Philippe VIDAL"/>
    <x v="16"/>
    <x v="16"/>
    <s v=" "/>
    <s v="oui"/>
    <s v="OUI"/>
    <x v="2"/>
  </r>
  <r>
    <n v="34082"/>
    <s v="Combaillaux"/>
    <n v="34082"/>
    <n v="902"/>
    <s v="Montpellier"/>
    <n v="20"/>
    <s v="Daniel FLOUTARD"/>
    <s v="Florence Coulon "/>
    <s v="Coeur d'Hérault - Pic Saint-Loup"/>
    <s v="Pic Saint-Loup"/>
    <s v="Canton 23 - Saint-Gély-du-Fesc"/>
    <s v="Laurence CRISTOL et Kléber MESQUIDA"/>
    <x v="8"/>
    <x v="8"/>
    <s v=" "/>
    <s v="oui"/>
    <s v="NON"/>
    <x v="1"/>
  </r>
  <r>
    <n v="34083"/>
    <s v="Combes"/>
    <n v="34083"/>
    <n v="1092"/>
    <s v="Bédarieux"/>
    <n v="12"/>
    <s v="Marie-Line GERONIMO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084"/>
    <s v="Corneilhan"/>
    <n v="34084"/>
    <n v="1434"/>
    <s v="Béziers"/>
    <n v="20"/>
    <s v="Bertrand GELLY"/>
    <s v="Eric Andanson"/>
    <s v="Biterrois"/>
    <s v="Biterrois"/>
    <s v="Canton 03 - Béziers 2"/>
    <s v="GILLES SACAZE et JEAN-LOUIS RESPAUD"/>
    <x v="5"/>
    <x v="5"/>
    <s v=" "/>
    <s v="oui"/>
    <s v="NON"/>
    <x v="2"/>
  </r>
  <r>
    <n v="34085"/>
    <s v="Coulobres"/>
    <n v="34085"/>
    <n v="304"/>
    <s v="Béziers"/>
    <n v="20"/>
    <s v="Gérard BOYER"/>
    <s v="Eric Andanson"/>
    <s v="Biterrois"/>
    <s v="Biterrois"/>
    <s v="Canton 21 - Pézenas"/>
    <s v="Vincent GAUDY et Julie GARCIN SAUDO"/>
    <x v="5"/>
    <x v="5"/>
    <s v=" "/>
    <s v="oui"/>
    <s v="OUI"/>
    <x v="2"/>
  </r>
  <r>
    <n v="34086"/>
    <s v="Courniou"/>
    <n v="34086"/>
    <n v="3034"/>
    <s v="Commune hors attraction des villes"/>
    <n v="30"/>
    <s v="Catherine SONZOGNI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087"/>
    <s v="Cournonsec"/>
    <n v="34087"/>
    <n v="1219"/>
    <s v="Montpellier"/>
    <n v="20"/>
    <s v="Régine ILLAIRE 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088"/>
    <s v="Cournonterral"/>
    <n v="34088"/>
    <n v="2878"/>
    <s v="Montpellier"/>
    <n v="20"/>
    <s v="William ARS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089"/>
    <s v="Creissan"/>
    <n v="34089"/>
    <n v="861"/>
    <s v="Béziers"/>
    <n v="20"/>
    <s v="Laurent BRUNET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90"/>
    <s v="Le Crès"/>
    <n v="34090"/>
    <n v="577"/>
    <s v="Montpellier"/>
    <n v="12"/>
    <s v="Stéphane CHAMPAY"/>
    <s v="Florence Coulon "/>
    <s v="Montpelliérain"/>
    <s v="Métropole"/>
    <s v="Canton 07 - Le Crès"/>
    <s v="Yvon PELLET et Claudine VASSAS-MEJRI "/>
    <x v="10"/>
    <x v="10"/>
    <s v=" "/>
    <s v="oui"/>
    <s v="NON"/>
    <x v="3"/>
  </r>
  <r>
    <n v="34091"/>
    <s v="Le Cros"/>
    <n v="34091"/>
    <n v="2230"/>
    <s v="Lodève"/>
    <n v="20"/>
    <s v="Alain VIALA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092"/>
    <s v="Cruzy"/>
    <n v="34092"/>
    <n v="2594"/>
    <s v="Commune hors attraction des villes"/>
    <n v="30"/>
    <s v="Rémy AFFRE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093"/>
    <s v="Dio-et-Valquières"/>
    <n v="34093"/>
    <n v="1866"/>
    <s v="Bédarieux"/>
    <n v="20"/>
    <s v="Yvelise DESCAMPS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094"/>
    <s v="Espondeilhan"/>
    <n v="34094"/>
    <n v="510"/>
    <s v="Béziers"/>
    <n v="20"/>
    <s v="Christophe LLOP"/>
    <s v="Eric Andanson"/>
    <s v="Biterrois"/>
    <s v="Biterrois"/>
    <s v="Canton 04 - Béziers 3"/>
    <s v="Nicole ZENON et Marie-Emmanuelle CAMOUS"/>
    <x v="5"/>
    <x v="5"/>
    <s v=" "/>
    <s v="oui"/>
    <s v="NON"/>
    <x v="2"/>
  </r>
  <r>
    <n v="34095"/>
    <s v="Fabrègues"/>
    <n v="34095"/>
    <n v="3191"/>
    <s v="Montpellier"/>
    <n v="20"/>
    <s v="Jacques MARTINIER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096"/>
    <s v="Faugères"/>
    <n v="34096"/>
    <n v="2604"/>
    <s v="Bédarieux"/>
    <n v="20"/>
    <s v="Philippe BOUCHE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097"/>
    <s v="Félines-Minervois"/>
    <n v="34097"/>
    <n v="3021"/>
    <s v="Commune hors attraction des villes"/>
    <n v="30"/>
    <s v="Anne CABRIÉ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098"/>
    <s v="Ferrals-les-Montagnes"/>
    <n v="34098"/>
    <n v="2556"/>
    <s v="Commune hors attraction des villes"/>
    <n v="30"/>
    <s v="Annie ESPEL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099"/>
    <s v="Ferrières-les-Verreries"/>
    <n v="34099"/>
    <n v="1735"/>
    <s v="Montpellier"/>
    <n v="20"/>
    <s v="Christian BOURRIAGUE"/>
    <s v="Florence Coulon "/>
    <s v="Coeur d'Hérault - Pic Saint-Loup"/>
    <s v="Pic Saint-Loup"/>
    <s v="Canton 11 - Lodève"/>
    <s v="Jacques RIGAUD et Gaëlle LEVEQUE"/>
    <x v="8"/>
    <x v="8"/>
    <s v=" "/>
    <s v="oui"/>
    <s v="NON"/>
    <x v="1"/>
  </r>
  <r>
    <n v="34100"/>
    <s v="Ferrières-Poussarou"/>
    <n v="34100"/>
    <n v="2576"/>
    <s v="Commune hors attraction des villes"/>
    <n v="30"/>
    <s v="Pascale PEYTAVI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NON"/>
    <x v="0"/>
  </r>
  <r>
    <n v="34101"/>
    <s v="Florensac"/>
    <n v="34101"/>
    <n v="3586"/>
    <s v="Agde"/>
    <n v="20"/>
    <s v="Vincent GAUDY"/>
    <s v="Elisabeth Pourcel"/>
    <s v="Biterrois"/>
    <s v="Thau - Plaine d'Hérault"/>
    <s v="Canton 21 - Pézenas"/>
    <s v="Vincent GAUDY et Julie GARCIN SAUDO"/>
    <x v="1"/>
    <x v="1"/>
    <s v=" "/>
    <s v="oui"/>
    <s v="OUI"/>
    <x v="1"/>
  </r>
  <r>
    <n v="34102"/>
    <s v="Fontanès"/>
    <n v="34102"/>
    <n v="833"/>
    <s v="Montpellier"/>
    <n v="20"/>
    <s v="Geneviève CASTANIÉ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103"/>
    <s v="Fontès"/>
    <n v="34103"/>
    <n v="1773"/>
    <s v="Commune hors attraction des villes"/>
    <n v="30"/>
    <s v="Olivier BRUN"/>
    <s v="Elisabeth Pourcel"/>
    <s v="Coeur d'Hérault - Pic Saint-Loup"/>
    <s v="Coeur d'Hérault"/>
    <s v="Canton 14 - Mèze"/>
    <s v="Audrey IMBERT et Christophe MORGO"/>
    <x v="7"/>
    <x v="7"/>
    <s v="LARZAC COEUR D'HERAULT"/>
    <s v="oui"/>
    <s v="OUI"/>
    <x v="2"/>
  </r>
  <r>
    <n v="34104"/>
    <s v="Fos"/>
    <n v="34104"/>
    <n v="654"/>
    <s v="Commune hors attraction des villes"/>
    <n v="30"/>
    <s v="Francis VABRE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105"/>
    <s v="Fouzilhon"/>
    <n v="34105"/>
    <n v="541"/>
    <s v="Béziers"/>
    <n v="20"/>
    <s v="Lydie COUDERC"/>
    <s v="Eric Andanson"/>
    <s v="Haut-Languedoc - Ouest Hérault"/>
    <s v="Biterrois"/>
    <s v="Canton 05 - Cazouls-lès-Béziers"/>
    <s v="Séverine SAUR et Philippe VIDAL"/>
    <x v="0"/>
    <x v="0"/>
    <s v=" "/>
    <s v="oui"/>
    <s v="NON"/>
    <x v="0"/>
  </r>
  <r>
    <n v="34106"/>
    <s v="Fozières"/>
    <n v="34106"/>
    <n v="540"/>
    <s v="Lodève"/>
    <n v="20"/>
    <s v="Michel COMBES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107"/>
    <s v="Fraisse-sur-Agout"/>
    <n v="34107"/>
    <n v="5858"/>
    <s v="Commune hors attraction des villes"/>
    <n v="30"/>
    <s v="Jim RONEZ"/>
    <s v="Eric Andanson"/>
    <s v="Haut-Languedoc - Ouest Hérault"/>
    <s v="Haut Languedoc"/>
    <s v="Canton 24 - Saint-Pons-de-Thomières"/>
    <s v="Marie-Pierre PONS et GABRIEL BLASCO"/>
    <x v="14"/>
    <x v="14"/>
    <s v=" "/>
    <s v="oui"/>
    <s v="OUI"/>
    <x v="2"/>
  </r>
  <r>
    <n v="34108"/>
    <s v="Frontignan"/>
    <n v="34108"/>
    <n v="3985"/>
    <s v="Montpellier"/>
    <n v="20"/>
    <s v="Michel ARROUY"/>
    <s v="Elisabeth Pourcel"/>
    <s v="Etang de Thau"/>
    <s v="Thau - Plaine d'Hérault"/>
    <s v="Canton 08 - Frontignan"/>
    <s v="Pierre BOULDOIRE et Sylvie PRADELLE"/>
    <x v="11"/>
    <x v="11"/>
    <s v=" "/>
    <s v="oui"/>
    <s v="OUI"/>
    <x v="3"/>
  </r>
  <r>
    <n v="34109"/>
    <s v="Gabian"/>
    <n v="34109"/>
    <n v="1604"/>
    <s v="Béziers"/>
    <n v="20"/>
    <s v="Francis BOUTES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110"/>
    <s v="Galargues"/>
    <n v="34110"/>
    <n v="1132"/>
    <s v="Montpellier"/>
    <n v="20"/>
    <s v="Denis DEVRIENDT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111"/>
    <s v="Ganges"/>
    <n v="34111"/>
    <n v="726"/>
    <s v="Montpellier"/>
    <n v="20"/>
    <s v="Michel FRATISSIER"/>
    <s v="Florence Coulon "/>
    <s v="Coeur d'Hérault - Pic Saint-Loup"/>
    <s v="Pic Saint-Loup"/>
    <s v="Canton 11 - Lodève"/>
    <s v="Jacques RIGAUD et Gaëlle LEVEQUE"/>
    <x v="3"/>
    <x v="3"/>
    <s v="AIGOUAL CEVENNES"/>
    <s v="oui"/>
    <s v="OUI"/>
    <x v="2"/>
  </r>
  <r>
    <n v="34112"/>
    <s v="Garrigues"/>
    <n v="34112"/>
    <n v="487"/>
    <s v="Montpellier"/>
    <n v="20"/>
    <s v="Laurent RICARD"/>
    <s v="Florence Coulon "/>
    <s v="Petite Camargue"/>
    <s v="Petite Camargue"/>
    <s v="Canton 12 - Lunel"/>
    <s v="JEROME BOISSON et PAULETTE GOUGEON"/>
    <x v="12"/>
    <x v="12"/>
    <s v=" "/>
    <s v="oui"/>
    <s v="OUI"/>
    <x v="1"/>
  </r>
  <r>
    <n v="34113"/>
    <s v="Gigean"/>
    <n v="34113"/>
    <n v="1635"/>
    <s v="Montpellier"/>
    <n v="20"/>
    <s v="Marcel STOECKLIN"/>
    <s v="Elisabeth Pourcel"/>
    <s v="Etang de Thau"/>
    <s v="Thau - Plaine d'Hérault"/>
    <s v="Canton 08 - Frontignan"/>
    <s v="Pierre BOULDOIRE et Sylvie PRADELLE"/>
    <x v="11"/>
    <x v="11"/>
    <s v=" "/>
    <s v="oui"/>
    <s v="OUI"/>
    <x v="3"/>
  </r>
  <r>
    <n v="34114"/>
    <s v="Gignac"/>
    <n v="34114"/>
    <n v="2988"/>
    <s v="Montpellier"/>
    <n v="20"/>
    <s v="Jean-François SOTO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115"/>
    <s v="Gorniès"/>
    <n v="34115"/>
    <n v="2910"/>
    <s v="Commune hors attraction des villes"/>
    <n v="30"/>
    <s v="Joël POVREAU"/>
    <s v="Florence Coulon "/>
    <s v="Coeur d'Hérault - Pic Saint-Loup"/>
    <s v="Pic Saint-Loup"/>
    <s v="Canton 11 - Lodève"/>
    <s v="Jacques RIGAUD et Gaëlle LEVEQUE"/>
    <x v="3"/>
    <x v="3"/>
    <s v="AIGOUAL CEVENNES"/>
    <s v="oui"/>
    <s v="NON"/>
    <x v="2"/>
  </r>
  <r>
    <n v="34116"/>
    <s v="Grabels"/>
    <n v="34116"/>
    <n v="1660"/>
    <s v="Montpellier"/>
    <n v="12"/>
    <s v="René REVOL"/>
    <s v="Florence Coulon "/>
    <s v="Montpelliérain"/>
    <s v="Métropole"/>
    <s v="Canton 15 - Montpellier 1"/>
    <s v="RACHID EL MOUDDEN et MANAR BOUIDA"/>
    <x v="10"/>
    <x v="10"/>
    <s v=" "/>
    <s v="oui"/>
    <s v="OUI"/>
    <x v="3"/>
  </r>
  <r>
    <n v="34117"/>
    <s v="Graissessac"/>
    <n v="34117"/>
    <n v="986"/>
    <s v="Bédarieux"/>
    <n v="20"/>
    <s v="Mariette COMBES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118"/>
    <s v="Guzargues"/>
    <n v="34118"/>
    <n v="1162"/>
    <s v="Montpellier"/>
    <n v="20"/>
    <s v="Pierre ANTOINE"/>
    <s v="Florence Coulon "/>
    <s v="Coeur d'Hérault - Pic Saint-Loup"/>
    <s v="Pic Saint-Loup"/>
    <s v="Canton 23 - Saint-Gély-du-Fesc"/>
    <s v="Laurence CRISTOL et Kléber MESQUIDA"/>
    <x v="8"/>
    <x v="8"/>
    <s v=" "/>
    <s v="oui"/>
    <s v="NON"/>
    <x v="1"/>
  </r>
  <r>
    <n v="34119"/>
    <s v="Hérépian"/>
    <n v="34119"/>
    <n v="887"/>
    <s v="Bédarieux"/>
    <n v="12"/>
    <s v="Jean-Louis LAFAURIE "/>
    <s v="Eric Andanson"/>
    <s v="Haut-Languedoc - Ouest Hérault"/>
    <s v="Mont d'Orb"/>
    <s v="Canton 06 - Clermont-l'Hérault"/>
    <s v="Jean-Luc FALIP et Marie PASSIEUX"/>
    <x v="4"/>
    <x v="4"/>
    <s v=" "/>
    <s v="oui"/>
    <s v="NON"/>
    <x v="0"/>
  </r>
  <r>
    <n v="34120"/>
    <s v="Jacou"/>
    <n v="34120"/>
    <n v="340"/>
    <s v="Montpellier"/>
    <n v="20"/>
    <s v="Renaud CALVAT"/>
    <s v="Florence Coulon "/>
    <s v="Montpelliérain"/>
    <s v="Métropole"/>
    <s v="Canton 20 - Montpellier - Castelnau-le-Lez"/>
    <s v="JACQUELINE MARKOVIC et Renaud CALVAT"/>
    <x v="10"/>
    <x v="10"/>
    <s v=" "/>
    <s v="oui"/>
    <s v="OUI"/>
    <x v="3"/>
  </r>
  <r>
    <n v="34121"/>
    <s v="Joncels"/>
    <n v="34121"/>
    <n v="4643"/>
    <s v="Commune hors attraction des villes"/>
    <n v="30"/>
    <s v="Rémy PAILLES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122"/>
    <s v="Jonquières"/>
    <n v="34122"/>
    <n v="206"/>
    <s v="Montpellier"/>
    <n v="20"/>
    <s v="Bernard GOUZIN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123"/>
    <s v="Juvignac"/>
    <n v="34123"/>
    <n v="1097"/>
    <s v="Montpellier"/>
    <n v="20"/>
    <s v="Jean-Luc SAVY "/>
    <s v="Florence Coulon "/>
    <s v="Montpelliérain"/>
    <s v="Métropole"/>
    <s v="Canton 10 - Lattes"/>
    <s v="Cyril MEUNIER et Patricia WEBER"/>
    <x v="10"/>
    <x v="10"/>
    <s v=" "/>
    <s v="oui"/>
    <s v="NON"/>
    <x v="3"/>
  </r>
  <r>
    <n v="34124"/>
    <s v="Lacoste"/>
    <n v="34124"/>
    <n v="754"/>
    <s v="Montpellier"/>
    <n v="20"/>
    <s v="Marc CARAYON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125"/>
    <s v="Lagamas"/>
    <n v="34125"/>
    <n v="453"/>
    <s v="Montpellier"/>
    <n v="20"/>
    <s v="Christian VILOING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126"/>
    <s v="Lamalou-les-Bains"/>
    <n v="34126"/>
    <n v="624"/>
    <s v="Bédarieux"/>
    <n v="12"/>
    <s v="Guillaume DALERY"/>
    <s v="Eric Andanson"/>
    <s v="Haut-Languedoc - Ouest Hérault"/>
    <s v="Mont d'Orb"/>
    <s v="Canton 06 - Clermont-l'Hérault"/>
    <s v="Jean-Luc FALIP et Marie PASSIEUX"/>
    <x v="4"/>
    <x v="4"/>
    <s v=" "/>
    <s v="oui"/>
    <s v="OUI"/>
    <x v="0"/>
  </r>
  <r>
    <n v="34127"/>
    <s v="Lansargues"/>
    <n v="34127"/>
    <n v="1853"/>
    <s v="Montpellier"/>
    <n v="20"/>
    <s v="Michel CARLIER"/>
    <s v="Florence Coulon "/>
    <s v="Petite Camargue"/>
    <s v="Petite Camargue"/>
    <s v="Canton 13 - Mauguio"/>
    <s v="Brice BONNEFOUX et PATRICIA MOULLIN-TRAFFORT"/>
    <x v="15"/>
    <x v="15"/>
    <s v=" "/>
    <s v="oui"/>
    <s v="OUI"/>
    <x v="1"/>
  </r>
  <r>
    <n v="34128"/>
    <s v="Laroque"/>
    <n v="34128"/>
    <n v="672"/>
    <s v="Montpellier"/>
    <n v="20"/>
    <s v="Pierrick CIRIBINO"/>
    <s v="Florence Coulon "/>
    <s v="Coeur d'Hérault - Pic Saint-Loup"/>
    <s v="Pic Saint-Loup"/>
    <s v="Canton 11 - Lodève"/>
    <s v="Jacques RIGAUD et Gaëlle LEVEQUE"/>
    <x v="3"/>
    <x v="3"/>
    <s v="AIGOUAL CEVENNES"/>
    <s v="oui"/>
    <s v="NON"/>
    <x v="2"/>
  </r>
  <r>
    <n v="34129"/>
    <s v="Lattes"/>
    <n v="34129"/>
    <n v="3230"/>
    <s v="Montpellier"/>
    <n v="12"/>
    <s v="Cyril MEUNIER"/>
    <s v="Florence Coulon "/>
    <s v="Montpelliérain"/>
    <s v="Métropole"/>
    <s v="Canton 10 - Lattes"/>
    <s v="Cyril MEUNIER et Patricia WEBER"/>
    <x v="10"/>
    <x v="10"/>
    <s v=" "/>
    <s v="oui"/>
    <s v="OUI"/>
    <x v="3"/>
  </r>
  <r>
    <n v="34130"/>
    <s v="Laurens"/>
    <n v="34130"/>
    <n v="1658"/>
    <s v="Béziers"/>
    <n v="20"/>
    <s v="François ANGLADE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131"/>
    <s v="Lauret"/>
    <n v="34131"/>
    <n v="668"/>
    <s v="Montpellier"/>
    <n v="20"/>
    <s v="Stéphane CATANIA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132"/>
    <s v="Lauroux"/>
    <n v="34132"/>
    <n v="2663"/>
    <s v="Lodève"/>
    <n v="20"/>
    <s v="Jean-Paul PAILHOUX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133"/>
    <s v="Lavalette"/>
    <n v="34133"/>
    <n v="855"/>
    <s v="Commune hors attraction des villes"/>
    <n v="30"/>
    <s v="Claire VAN DER HORST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134"/>
    <s v="Lavérune"/>
    <n v="34134"/>
    <n v="716"/>
    <s v="Montpellier"/>
    <n v="20"/>
    <s v="Roger CAIZERGUES"/>
    <s v="Florence Coulon "/>
    <s v="Montpelliérain"/>
    <s v="Métropole"/>
    <s v="Canton 10 - Lattes"/>
    <s v="Cyril MEUNIER et Patricia WEBER"/>
    <x v="10"/>
    <x v="10"/>
    <s v=" "/>
    <s v="oui"/>
    <s v="OUI"/>
    <x v="3"/>
  </r>
  <r>
    <n v="34135"/>
    <s v="Lespignan"/>
    <n v="34135"/>
    <n v="2296"/>
    <s v="Béziers"/>
    <n v="20"/>
    <s v="Jean-François GUIBBERT"/>
    <s v="Eric Andanson"/>
    <s v="Haut-Languedoc - Ouest Hérault"/>
    <s v="Biterrois"/>
    <s v="Canton 02 - Béziers 1"/>
    <s v="DENIS MARSALA et MARIE HIRTH"/>
    <x v="16"/>
    <x v="16"/>
    <s v=" "/>
    <s v="oui"/>
    <s v="OUI"/>
    <x v="2"/>
  </r>
  <r>
    <n v="34136"/>
    <s v="Lézignan-la-Cèbe"/>
    <n v="34136"/>
    <n v="624"/>
    <s v="Pézenas"/>
    <n v="20"/>
    <s v="Rémi BOUYALA"/>
    <s v="Elisabeth Pourcel"/>
    <s v="Biterrois"/>
    <s v="Thau - Plaine d'Hérault"/>
    <s v="Canton 14 - Mèze"/>
    <s v="Audrey IMBERT et Christophe MORGO"/>
    <x v="1"/>
    <x v="1"/>
    <s v=" "/>
    <s v="oui"/>
    <s v="NON"/>
    <x v="1"/>
  </r>
  <r>
    <n v="34137"/>
    <s v="Liausson"/>
    <n v="34137"/>
    <n v="793"/>
    <s v="Commune hors attraction des villes"/>
    <n v="30"/>
    <s v="Alain SOULAYROL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138"/>
    <s v="Lieuran-Cabrières"/>
    <n v="34138"/>
    <n v="616"/>
    <s v="Commune hors attraction des villes"/>
    <n v="30"/>
    <s v="Jean-Philippe OLLIER"/>
    <s v="Elisabeth Pourcel"/>
    <s v="Coeur d'Hérault - Pic Saint-Loup"/>
    <s v="Coeur d'Hérault"/>
    <s v="Canton 14 - Mèze"/>
    <s v="Audrey IMBERT et Christophe MORGO"/>
    <x v="7"/>
    <x v="7"/>
    <s v="LARZAC COEUR D'HERAULT"/>
    <s v="oui"/>
    <s v="OUI"/>
    <x v="2"/>
  </r>
  <r>
    <n v="34139"/>
    <s v="Lieuran-lès-Béziers"/>
    <n v="34139"/>
    <n v="860"/>
    <s v="Béziers"/>
    <n v="20"/>
    <s v="Robert GELY"/>
    <s v="Eric Andanson"/>
    <s v="Biterrois"/>
    <s v="Biterrois"/>
    <s v="Canton 04 - Béziers 3"/>
    <s v="Nicole ZENON et Marie-Emmanuelle CAMOUS"/>
    <x v="5"/>
    <x v="5"/>
    <s v=" "/>
    <s v="oui"/>
    <s v="NON"/>
    <x v="2"/>
  </r>
  <r>
    <n v="34140"/>
    <s v="Lignan-sur-Orb"/>
    <n v="34140"/>
    <n v="339"/>
    <s v="Béziers"/>
    <n v="20"/>
    <s v="LE MAIRE"/>
    <s v="Eric Andanson"/>
    <s v="Biterrois"/>
    <s v="Biterrois"/>
    <s v="Canton 03 - Béziers 2"/>
    <s v="GILLES SACAZE et JEAN-LOUIS RESPAUD"/>
    <x v="5"/>
    <x v="5"/>
    <s v=" "/>
    <s v="oui"/>
    <s v="OUI"/>
    <x v="2"/>
  </r>
  <r>
    <n v="34141"/>
    <s v="La Livinière"/>
    <n v="34141"/>
    <n v="3118"/>
    <s v="Commune hors attraction des villes"/>
    <n v="30"/>
    <s v="Pierre-André PEDESSEAU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142"/>
    <s v="Lodève"/>
    <n v="34142"/>
    <n v="2327"/>
    <s v="Lodève"/>
    <n v="11"/>
    <s v="Gaëlle LEVEQUE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143"/>
    <s v="Loupian"/>
    <n v="34143"/>
    <n v="2320"/>
    <s v="Montpellier"/>
    <n v="20"/>
    <s v="Alain VIDAL"/>
    <s v="Elisabeth Pourcel"/>
    <s v="Etang de Thau"/>
    <s v="Thau - Plaine d'Hérault"/>
    <s v="Canton 14 - Mèze"/>
    <s v="Audrey IMBERT et Christophe MORGO"/>
    <x v="11"/>
    <x v="11"/>
    <s v=" "/>
    <s v="oui"/>
    <s v="OUI"/>
    <x v="3"/>
  </r>
  <r>
    <n v="34144"/>
    <s v="Lunas"/>
    <n v="34144"/>
    <n v="4491"/>
    <s v="Bédarieux"/>
    <n v="20"/>
    <s v="Aurélien MANENC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145"/>
    <s v="Lunel"/>
    <n v="34145"/>
    <n v="2427"/>
    <s v="Montpellier"/>
    <n v="20"/>
    <s v="Pierre SOUJOL"/>
    <s v="Florence Coulon "/>
    <s v="Petite Camargue"/>
    <s v="Petite Camargue"/>
    <s v="Canton 12 - Lunel"/>
    <s v="JEROME BOISSON et PAULETTE GOUGEON"/>
    <x v="12"/>
    <x v="12"/>
    <s v=" "/>
    <s v="oui"/>
    <s v="OUI"/>
    <x v="1"/>
  </r>
  <r>
    <n v="34146"/>
    <s v="Lunel-Viel"/>
    <n v="34146"/>
    <n v="1213"/>
    <s v="Montpellier"/>
    <n v="20"/>
    <s v="Fabrice FENOY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147"/>
    <s v="Magalas"/>
    <n v="34147"/>
    <n v="2085"/>
    <s v="Béziers"/>
    <n v="20"/>
    <s v="Jean-Pierre SIMO-CAZENAVE"/>
    <s v="Eric Andanson"/>
    <s v="Haut-Languedoc - Ouest Hérault"/>
    <s v="Biterrois"/>
    <s v="Canton 05 - Cazouls-lès-Béziers"/>
    <s v="Séverine SAUR et Philippe VIDAL"/>
    <x v="0"/>
    <x v="0"/>
    <s v=" "/>
    <s v="oui"/>
    <s v="NON"/>
    <x v="0"/>
  </r>
  <r>
    <n v="34148"/>
    <s v="Maraussan"/>
    <n v="34148"/>
    <n v="1241"/>
    <s v="Béziers"/>
    <n v="20"/>
    <s v="Serge PESCE"/>
    <s v="Eric Andanson"/>
    <s v="Haut-Languedoc - Ouest Hérault"/>
    <s v="Biterrois"/>
    <s v="Canton 05 - Cazouls-lès-Béziers"/>
    <s v="Séverine SAUR et Philippe VIDAL"/>
    <x v="16"/>
    <x v="16"/>
    <s v=" "/>
    <s v="oui"/>
    <s v="OUI"/>
    <x v="2"/>
  </r>
  <r>
    <n v="34149"/>
    <s v="Margon"/>
    <n v="34149"/>
    <n v="453"/>
    <s v="Béziers"/>
    <n v="20"/>
    <s v="Jacques LIBRETTI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150"/>
    <s v="Marseillan"/>
    <n v="34150"/>
    <n v="5310"/>
    <s v="Agde"/>
    <n v="20"/>
    <s v="Yves MICHEL"/>
    <s v="Elisabeth Pourcel"/>
    <s v="Etang de Thau"/>
    <s v="Thau - Plaine d'Hérault"/>
    <s v="Canton 01 - Agde"/>
    <s v="Sébastien FREY et Marie-Christine FABRE DE ROUSSAC"/>
    <x v="11"/>
    <x v="11"/>
    <s v=" "/>
    <s v="oui"/>
    <s v="NON"/>
    <x v="3"/>
  </r>
  <r>
    <n v="34151"/>
    <s v="Marsillargues"/>
    <n v="34151"/>
    <n v="4239"/>
    <s v="Montpellier"/>
    <n v="20"/>
    <s v="Patrice SPEZIALE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152"/>
    <s v="Mas-de-Londres"/>
    <n v="34152"/>
    <n v="1927"/>
    <s v="Montpellier"/>
    <n v="20"/>
    <s v="Robert ARNAL"/>
    <s v="Florence Coulon "/>
    <s v="Coeur d'Hérault - Pic Saint-Loup"/>
    <s v="Pic Saint-Loup"/>
    <s v="Canton 11 - Lodève"/>
    <s v="Jacques RIGAUD et Gaëlle LEVEQUE"/>
    <x v="8"/>
    <x v="8"/>
    <s v=" "/>
    <s v="oui"/>
    <s v="NON"/>
    <x v="1"/>
  </r>
  <r>
    <n v="34153"/>
    <s v="Les Matelles"/>
    <n v="34153"/>
    <n v="1678"/>
    <s v="Montpellier"/>
    <n v="20"/>
    <s v="Alain BARBE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154"/>
    <s v="Mauguio"/>
    <n v="34154"/>
    <n v="7691"/>
    <s v="Montpellier"/>
    <n v="20"/>
    <s v="Yvon BOURREL"/>
    <s v="Florence Coulon "/>
    <s v="Petite Camargue"/>
    <s v="Petite Camargue"/>
    <s v="Canton 13 - Mauguio"/>
    <s v="Brice BONNEFOUX et PATRICIA MOULLIN-TRAFFORT"/>
    <x v="15"/>
    <x v="15"/>
    <s v=" "/>
    <s v="oui"/>
    <s v="OUI"/>
    <x v="1"/>
  </r>
  <r>
    <n v="34155"/>
    <s v="Maureilhan"/>
    <n v="34155"/>
    <n v="1039"/>
    <s v="Béziers"/>
    <n v="20"/>
    <s v="Christian SEGUY"/>
    <s v="Eric Andanson"/>
    <s v="Haut-Languedoc - Ouest Hérault"/>
    <s v="Vignobles d'Ouest"/>
    <s v="Canton 05 - Cazouls-lès-Béziers"/>
    <s v="Séverine SAUR et Philippe VIDAL"/>
    <x v="16"/>
    <x v="16"/>
    <s v=" "/>
    <s v="oui"/>
    <s v="NON"/>
    <x v="2"/>
  </r>
  <r>
    <n v="34156"/>
    <s v="Mérifons"/>
    <n v="34156"/>
    <n v="671"/>
    <s v="Commune hors attraction des villes"/>
    <n v="30"/>
    <s v="Sophie COSTEAU"/>
    <s v="Elisabeth Pourcel"/>
    <s v="Coeur d'Hérault - Pic Saint-Loup"/>
    <s v="Mont d'Orb"/>
    <s v="Canton 06 - Clermont-l'Hérault"/>
    <s v="Jean-Luc FALIP et Marie PASSIEUX"/>
    <x v="7"/>
    <x v="7"/>
    <s v="LARZAC COEUR D'HERAULT"/>
    <s v="oui"/>
    <s v="NON"/>
    <x v="2"/>
  </r>
  <r>
    <n v="34157"/>
    <s v="Mèze"/>
    <n v="34157"/>
    <n v="4776"/>
    <s v="Montpellier"/>
    <n v="20"/>
    <s v="Thierry BAËZA"/>
    <s v="Elisabeth Pourcel"/>
    <s v="Etang de Thau"/>
    <s v="Thau - Plaine d'Hérault"/>
    <s v="Canton 14 - Mèze"/>
    <s v="Audrey IMBERT et Christophe MORGO"/>
    <x v="11"/>
    <x v="11"/>
    <s v=" "/>
    <s v="oui"/>
    <s v="OUI"/>
    <x v="3"/>
  </r>
  <r>
    <n v="34158"/>
    <s v="Minerve"/>
    <n v="34158"/>
    <n v="2765"/>
    <s v="Commune hors attraction des villes"/>
    <n v="30"/>
    <s v="Didier VORDY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159"/>
    <s v="Mireval"/>
    <n v="34159"/>
    <n v="1127"/>
    <s v="Montpellier"/>
    <n v="20"/>
    <s v="Christophe DURAND"/>
    <s v="Elisabeth Pourcel"/>
    <s v="Etang de Thau"/>
    <s v="Thau - Plaine d'Hérault"/>
    <s v="Canton 08 - Frontignan"/>
    <s v="Pierre BOULDOIRE et Sylvie PRADELLE"/>
    <x v="11"/>
    <x v="11"/>
    <s v=" "/>
    <s v="oui"/>
    <s v="NON"/>
    <x v="3"/>
  </r>
  <r>
    <n v="34160"/>
    <s v="Mons"/>
    <n v="34160"/>
    <n v="2189"/>
    <s v="Bédarieux"/>
    <n v="20"/>
    <s v="Arielle ESCURET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161"/>
    <s v="Montady"/>
    <n v="34161"/>
    <n v="992"/>
    <s v="Béziers"/>
    <n v="20"/>
    <s v="Alain CASTAN"/>
    <s v="Eric Andanson"/>
    <s v="Haut-Languedoc - Ouest Hérault"/>
    <s v="Vignobles d'Ouest"/>
    <s v="Canton 05 - Cazouls-lès-Béziers"/>
    <s v="Séverine SAUR et Philippe VIDAL"/>
    <x v="16"/>
    <x v="16"/>
    <s v=" "/>
    <s v="oui"/>
    <s v="NON"/>
    <x v="2"/>
  </r>
  <r>
    <n v="34162"/>
    <s v="Montagnac"/>
    <n v="34162"/>
    <n v="3998"/>
    <s v="Commune hors attraction des villes"/>
    <n v="30"/>
    <s v="Yann LlOPIS"/>
    <s v="Elisabeth Pourcel"/>
    <s v="Biterrois"/>
    <s v="Thau - Plaine d'Hérault"/>
    <s v="Canton 14 - Mèze"/>
    <s v="Audrey IMBERT et Christophe MORGO"/>
    <x v="1"/>
    <x v="1"/>
    <s v=" "/>
    <s v="oui"/>
    <s v="OUI"/>
    <x v="1"/>
  </r>
  <r>
    <n v="34163"/>
    <s v="Montarnaud"/>
    <n v="34163"/>
    <n v="2759"/>
    <s v="Montpellier"/>
    <n v="20"/>
    <s v="Jean-Pierre PUGENS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164"/>
    <s v="Montaud"/>
    <n v="34164"/>
    <n v="1311"/>
    <s v="Montpellier"/>
    <n v="20"/>
    <s v="Joël RAYMOND"/>
    <s v="Florence Coulon "/>
    <s v="Montpelliérain"/>
    <s v="Métropole"/>
    <s v="Canton 07 - Le Crès"/>
    <s v="Yvon PELLET et Claudine VASSAS-MEJRI "/>
    <x v="10"/>
    <x v="10"/>
    <s v=" "/>
    <s v="oui"/>
    <s v="NON"/>
    <x v="3"/>
  </r>
  <r>
    <n v="34165"/>
    <s v="Montbazin"/>
    <n v="34165"/>
    <n v="2139"/>
    <s v="Montpellier"/>
    <n v="20"/>
    <s v="Josian RIBES"/>
    <s v="Elisabeth Pourcel"/>
    <s v="Etang de Thau"/>
    <s v="Thau - Plaine d'Hérault"/>
    <s v="Canton 14 - Mèze"/>
    <s v="Audrey IMBERT et Christophe MORGO"/>
    <x v="11"/>
    <x v="11"/>
    <s v=" "/>
    <s v="oui"/>
    <s v="OUI"/>
    <x v="3"/>
  </r>
  <r>
    <n v="34166"/>
    <s v="Montblanc"/>
    <n v="34166"/>
    <n v="2716"/>
    <s v="Béziers"/>
    <n v="20"/>
    <s v="Claude ALLINGRI"/>
    <s v="Eric Andanson"/>
    <s v="Biterrois"/>
    <s v="Biterrois"/>
    <s v="Canton 21 - Pézenas"/>
    <s v="Vincent GAUDY et Julie GARCIN SAUDO"/>
    <x v="5"/>
    <x v="5"/>
    <s v=" "/>
    <s v="oui"/>
    <s v="OUI"/>
    <x v="2"/>
  </r>
  <r>
    <n v="34167"/>
    <s v="Montels"/>
    <n v="34167"/>
    <n v="743"/>
    <s v="Narbonne"/>
    <n v="20"/>
    <s v="Olivier HENRY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NON"/>
    <x v="0"/>
  </r>
  <r>
    <n v="34168"/>
    <s v="Montesquieu"/>
    <n v="34168"/>
    <n v="1451"/>
    <s v="Commune hors attraction des villes"/>
    <n v="30"/>
    <s v="Francis CASTAN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169"/>
    <s v="Montferrier-sur-Lez"/>
    <n v="34169"/>
    <n v="753"/>
    <s v="Montpellier"/>
    <n v="20"/>
    <s v="Brigitte DEVOISSELLE"/>
    <s v="Florence Coulon "/>
    <s v="Montpelliérain"/>
    <s v="Métropole"/>
    <s v="Canton 20 - Montpellier - Castelnau-le-Lez"/>
    <s v="JACQUELINE MARKOVIC et Renaud CALVAT"/>
    <x v="10"/>
    <x v="10"/>
    <s v=" "/>
    <s v="oui"/>
    <s v="NON"/>
    <x v="3"/>
  </r>
  <r>
    <n v="34170"/>
    <s v="Montouliers"/>
    <n v="34170"/>
    <n v="774"/>
    <s v="Commune hors attraction des villes"/>
    <n v="30"/>
    <s v="Patricia TOULZE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NON"/>
    <x v="0"/>
  </r>
  <r>
    <n v="34171"/>
    <s v="Montoulieu"/>
    <n v="34171"/>
    <n v="1622"/>
    <s v="Montpellier"/>
    <n v="20"/>
    <s v="Guilhem CHAFIOL"/>
    <s v="Florence Coulon "/>
    <s v="Coeur d'Hérault - Pic Saint-Loup"/>
    <s v="Pic Saint-Loup"/>
    <s v="Canton 11 - Lodève"/>
    <s v="Jacques RIGAUD et Gaëlle LEVEQUE"/>
    <x v="3"/>
    <x v="3"/>
    <s v="AIGOUAL CEVENNES"/>
    <s v="oui"/>
    <s v="OUI"/>
    <x v="2"/>
  </r>
  <r>
    <n v="34172"/>
    <s v="Montpellier"/>
    <n v="34172"/>
    <n v="5712"/>
    <s v="Montpellier"/>
    <n v="11"/>
    <s v="Michaël DELAFOSSE"/>
    <s v="Florence Coulon "/>
    <s v="Montpelliérain"/>
    <s v="Métropole"/>
    <s v="Canton 17 - 18 - 19 Montpellier 1 2 3"/>
    <n v="0"/>
    <x v="10"/>
    <x v="10"/>
    <s v=" "/>
    <s v="non"/>
    <s v="NON"/>
    <x v="3"/>
  </r>
  <r>
    <n v="34173"/>
    <s v="Montpeyroux"/>
    <n v="34173"/>
    <n v="2255"/>
    <s v="Montpellier"/>
    <n v="20"/>
    <s v="Claude CARCELLER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174"/>
    <s v="Moulès-et-Baucels"/>
    <n v="34174"/>
    <n v="2284"/>
    <s v="Commune hors attraction des villes"/>
    <n v="30"/>
    <s v="Daniel CELERIER"/>
    <s v="Florence Coulon "/>
    <s v="Coeur d'Hérault - Pic Saint-Loup"/>
    <s v="Pic Saint-Loup"/>
    <s v="Canton 11 - Lodève"/>
    <s v="Jacques RIGAUD et Gaëlle LEVEQUE"/>
    <x v="3"/>
    <x v="3"/>
    <s v="AIGOUAL CEVENNES"/>
    <s v="oui"/>
    <s v="NON"/>
    <x v="2"/>
  </r>
  <r>
    <n v="34175"/>
    <s v="Mourèze"/>
    <n v="34175"/>
    <n v="1356"/>
    <s v="Commune hors attraction des villes"/>
    <n v="30"/>
    <s v="Serge DIDELET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OUI"/>
    <x v="2"/>
  </r>
  <r>
    <n v="34176"/>
    <s v="Mudaison"/>
    <n v="34176"/>
    <n v="810"/>
    <s v="Montpellier"/>
    <n v="20"/>
    <s v="Juan ORTEGA"/>
    <s v="Florence Coulon "/>
    <s v="Petite Camargue"/>
    <s v="Petite Camargue"/>
    <s v="Canton 13 - Mauguio"/>
    <s v="Brice BONNEFOUX et PATRICIA MOULLIN-TRAFFORT"/>
    <x v="15"/>
    <x v="15"/>
    <s v=" "/>
    <s v="oui"/>
    <s v="OUI"/>
    <x v="1"/>
  </r>
  <r>
    <n v="34177"/>
    <s v="Murles"/>
    <n v="34177"/>
    <n v="2394"/>
    <s v="Montpellier"/>
    <n v="20"/>
    <s v="Éric RIGUET"/>
    <s v="Florence Coulon "/>
    <s v="Coeur d'Hérault - Pic Saint-Loup"/>
    <s v="Pic Saint-Loup"/>
    <s v="Canton 23 - Saint-Gély-du-Fesc"/>
    <s v="Laurence CRISTOL et Kléber MESQUIDA"/>
    <x v="8"/>
    <x v="8"/>
    <s v=" "/>
    <s v="oui"/>
    <s v="NON"/>
    <x v="1"/>
  </r>
  <r>
    <n v="34178"/>
    <s v="Murviel-lès-Béziers"/>
    <n v="34178"/>
    <n v="3252"/>
    <s v="Béziers"/>
    <n v="20"/>
    <s v="Sylvain HAGER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179"/>
    <s v="Murviel-lès-Montpellier"/>
    <n v="34179"/>
    <n v="1016"/>
    <s v="Montpellier"/>
    <n v="20"/>
    <s v="Isabelle TOUZARD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180"/>
    <s v="Nébian"/>
    <n v="34180"/>
    <n v="993"/>
    <s v="Montpellier"/>
    <n v="20"/>
    <s v="Francis BARDEAU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181"/>
    <s v="Neffiès"/>
    <n v="34181"/>
    <n v="1098"/>
    <s v="Commune hors attraction des villes"/>
    <n v="30"/>
    <s v="David ASTRUC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182"/>
    <s v="Nézignan-l'Évêque"/>
    <n v="34182"/>
    <n v="434"/>
    <s v="Pézenas"/>
    <n v="20"/>
    <s v="Edgard SICARD"/>
    <s v="Elisabeth Pourcel"/>
    <s v="Biterrois"/>
    <s v="Thau - Plaine d'Hérault"/>
    <s v="Canton 21 - Pézenas"/>
    <s v="Vincent GAUDY et Julie GARCIN SAUDO"/>
    <x v="1"/>
    <x v="1"/>
    <s v=" "/>
    <s v="oui"/>
    <s v="NON"/>
    <x v="1"/>
  </r>
  <r>
    <n v="34183"/>
    <s v="Nissan-lez-Enserune"/>
    <n v="34183"/>
    <n v="3027"/>
    <s v="Béziers"/>
    <n v="20"/>
    <s v="Pierre CROS"/>
    <s v="Eric Andanson"/>
    <s v="Haut-Languedoc - Ouest Hérault"/>
    <s v="Biterrois"/>
    <s v="Canton 02 - Béziers 1"/>
    <s v="DENIS MARSALA et MARIE HIRTH"/>
    <x v="16"/>
    <x v="16"/>
    <s v=" "/>
    <s v="oui"/>
    <s v="OUI"/>
    <x v="2"/>
  </r>
  <r>
    <n v="34184"/>
    <s v="Nizas"/>
    <n v="34184"/>
    <n v="869"/>
    <s v="Pézenas"/>
    <n v="20"/>
    <s v="Daniel RENAUD"/>
    <s v="Elisabeth Pourcel"/>
    <s v="Biterrois"/>
    <s v="Thau - Plaine d'Hérault"/>
    <s v="Canton 14 - Mèze"/>
    <s v="Audrey IMBERT et Christophe MORGO"/>
    <x v="1"/>
    <x v="1"/>
    <s v=" "/>
    <s v="oui"/>
    <s v="OUI"/>
    <x v="1"/>
  </r>
  <r>
    <n v="34185"/>
    <s v="Notre-Dame-de-Londres"/>
    <n v="34185"/>
    <n v="2839"/>
    <s v="Montpellier"/>
    <n v="20"/>
    <s v="Romain KUSOSKY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186"/>
    <s v="Octon"/>
    <n v="34186"/>
    <n v="2179"/>
    <s v="Commune hors attraction des villes"/>
    <n v="30"/>
    <s v="Bernard COSTE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OUI"/>
    <x v="2"/>
  </r>
  <r>
    <n v="34187"/>
    <s v="Olargues"/>
    <n v="34187"/>
    <n v="1849"/>
    <s v="Commune hors attraction des villes"/>
    <n v="30"/>
    <s v="Jean ARCAS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188"/>
    <s v="Olmet-et-Villecun"/>
    <n v="34188"/>
    <n v="967"/>
    <s v="Lodève"/>
    <n v="20"/>
    <s v="Christophe ROMO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189"/>
    <s v="Olonzac"/>
    <n v="34189"/>
    <n v="1933"/>
    <s v="Narbonne"/>
    <n v="20"/>
    <s v="Luc LOUIS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190"/>
    <s v="Oupia"/>
    <n v="34190"/>
    <n v="904"/>
    <s v="Narbonne"/>
    <n v="20"/>
    <s v="Laurie GOMEZ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191"/>
    <s v="Pailhès"/>
    <n v="34191"/>
    <n v="592"/>
    <s v="Béziers"/>
    <n v="20"/>
    <s v="Robert SOUQUE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OUI"/>
    <x v="0"/>
  </r>
  <r>
    <n v="34192"/>
    <s v="Palavas-les-Flots"/>
    <n v="34192"/>
    <n v="920"/>
    <s v="Montpellier"/>
    <n v="20"/>
    <s v="Christian JEANJEAN"/>
    <s v="Florence Coulon "/>
    <s v="Petite Camargue"/>
    <s v="Petite Camargue"/>
    <s v="Canton 13 - Mauguio"/>
    <s v="Brice BONNEFOUX et PATRICIA MOULLIN-TRAFFORT"/>
    <x v="15"/>
    <x v="15"/>
    <s v=" "/>
    <s v="oui"/>
    <s v="OUI"/>
    <x v="1"/>
  </r>
  <r>
    <n v="34193"/>
    <s v="Pardailhan"/>
    <n v="34193"/>
    <n v="4123"/>
    <s v="Commune hors attraction des villes"/>
    <n v="30"/>
    <s v="Alain TAILHAN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194"/>
    <s v="Paulhan"/>
    <n v="34194"/>
    <n v="1140"/>
    <s v="Commune hors attraction des villes"/>
    <n v="30"/>
    <s v="Claude VALÉRO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OUI"/>
    <x v="2"/>
  </r>
  <r>
    <n v="34195"/>
    <s v="Pégairolles-de-Buèges"/>
    <n v="34195"/>
    <n v="1324"/>
    <s v="Montpellier"/>
    <n v="20"/>
    <s v="Georges CAPUS"/>
    <s v="Florence Coulon "/>
    <s v="Coeur d'Hérault - Pic Saint-Loup"/>
    <s v="Pic Saint-Loup"/>
    <s v="Canton 11 - Lodève"/>
    <s v="Jacques RIGAUD et Gaëlle LEVEQUE"/>
    <x v="8"/>
    <x v="8"/>
    <s v=" "/>
    <s v="oui"/>
    <s v="NON"/>
    <x v="1"/>
  </r>
  <r>
    <n v="34196"/>
    <s v="Pégairolles-de-l'Escalette"/>
    <n v="34196"/>
    <n v="3200"/>
    <s v="Lodève"/>
    <n v="20"/>
    <s v="Frédéric ROIG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197"/>
    <s v="Péret"/>
    <n v="34197"/>
    <n v="1105"/>
    <s v="Commune hors attraction des villes"/>
    <n v="30"/>
    <s v="Isabelle SILHOL"/>
    <s v="Elisabeth Pourcel"/>
    <s v="Coeur d'Hérault - Pic Saint-Loup"/>
    <s v="Coeur d'Hérault"/>
    <s v="Canton 14 - Mèze"/>
    <s v="Audrey IMBERT et Christophe MORGO"/>
    <x v="7"/>
    <x v="7"/>
    <s v="LARZAC COEUR D'HERAULT"/>
    <s v="oui"/>
    <s v="NON"/>
    <x v="2"/>
  </r>
  <r>
    <n v="34198"/>
    <s v="Pérols"/>
    <n v="34198"/>
    <n v="867"/>
    <s v="Montpellier"/>
    <n v="20"/>
    <s v="Jean-Pierre RICO"/>
    <s v="Florence Coulon "/>
    <s v="Montpelliérain"/>
    <s v="Métropole"/>
    <s v="Canton 10 - Lattes"/>
    <s v="Cyril MEUNIER et Patricia WEBER"/>
    <x v="10"/>
    <x v="10"/>
    <s v=" "/>
    <s v="oui"/>
    <s v="OUI"/>
    <x v="3"/>
  </r>
  <r>
    <n v="34199"/>
    <s v="Pézenas"/>
    <n v="34199"/>
    <n v="2986"/>
    <s v="Pézenas"/>
    <n v="11"/>
    <s v="Armand RIVIERE"/>
    <s v="Elisabeth Pourcel"/>
    <s v="Biterrois"/>
    <s v="Thau - Plaine d'Hérault"/>
    <s v="Canton 21 - Pézenas"/>
    <s v="Vincent GAUDY et Julie GARCIN SAUDO"/>
    <x v="1"/>
    <x v="1"/>
    <s v=" "/>
    <s v="oui"/>
    <s v="OUI"/>
    <x v="1"/>
  </r>
  <r>
    <n v="34200"/>
    <s v="Pézènes-les-Mines"/>
    <n v="34200"/>
    <n v="2695"/>
    <s v="Bédarieux"/>
    <n v="20"/>
    <s v="Alain BOZON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201"/>
    <s v="Pierrerue"/>
    <n v="34201"/>
    <n v="1167"/>
    <s v="Commune hors attraction des villes"/>
    <n v="30"/>
    <s v="Daniel ROGER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NON"/>
    <x v="0"/>
  </r>
  <r>
    <n v="34202"/>
    <s v="Pignan"/>
    <n v="34202"/>
    <n v="2055"/>
    <s v="Montpellier"/>
    <n v="20"/>
    <s v="Michelle CASSAR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203"/>
    <s v="Pinet"/>
    <n v="34203"/>
    <n v="899"/>
    <s v="Commune hors attraction des villes"/>
    <n v="30"/>
    <s v="Nicolas ISERN"/>
    <s v="Elisabeth Pourcel"/>
    <s v="Biterrois"/>
    <s v="Thau - Plaine d'Hérault"/>
    <s v="Canton 21 - Pézenas"/>
    <s v="Vincent GAUDY et Julie GARCIN SAUDO"/>
    <x v="1"/>
    <x v="1"/>
    <s v=" "/>
    <s v="oui"/>
    <s v="NON"/>
    <x v="1"/>
  </r>
  <r>
    <n v="34204"/>
    <s v="Plaissan"/>
    <n v="34204"/>
    <n v="595"/>
    <s v="Montpellier"/>
    <n v="20"/>
    <s v="Béatrice FERNANDO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205"/>
    <s v="Les Plans"/>
    <n v="34205"/>
    <n v="1803"/>
    <s v="Lodève"/>
    <n v="20"/>
    <s v="Daniel FABRE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206"/>
    <s v="Poilhes"/>
    <n v="34206"/>
    <n v="597"/>
    <s v="Béziers"/>
    <n v="20"/>
    <s v="Bérenger SARDA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207"/>
    <s v="Pomérols"/>
    <n v="34207"/>
    <n v="1094"/>
    <s v="Agde"/>
    <n v="20"/>
    <s v="Laurent DURBAN"/>
    <s v="Elisabeth Pourcel"/>
    <s v="Biterrois"/>
    <s v="Thau - Plaine d'Hérault"/>
    <s v="Canton 21 - Pézenas"/>
    <s v="Vincent GAUDY et Julie GARCIN SAUDO"/>
    <x v="1"/>
    <x v="1"/>
    <s v=" "/>
    <s v="oui"/>
    <s v="OUI"/>
    <x v="1"/>
  </r>
  <r>
    <n v="34208"/>
    <s v="Popian"/>
    <n v="34208"/>
    <n v="587"/>
    <s v="Montpellier"/>
    <n v="20"/>
    <s v="Marie-Agnès SIBERTIN BLANC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09"/>
    <s v="Portiragnes"/>
    <n v="34209"/>
    <n v="2000"/>
    <s v="Béziers"/>
    <n v="20"/>
    <s v="Gwendoline CHAUDOIR"/>
    <s v="Elisabeth Pourcel"/>
    <s v="Biterrois"/>
    <s v="Biterrois"/>
    <s v="Canton 01 - Agde"/>
    <s v="Sébastien FREY et Marie-Christine FABRE DE ROUSSAC"/>
    <x v="1"/>
    <x v="1"/>
    <s v=" "/>
    <s v="oui"/>
    <s v="OUI"/>
    <x v="1"/>
  </r>
  <r>
    <n v="34210"/>
    <s v="Le Pouget"/>
    <n v="34210"/>
    <n v="1397"/>
    <s v="Montpellier"/>
    <n v="20"/>
    <s v="Thibaut BARRAL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211"/>
    <s v="Le Poujol-sur-Orb"/>
    <n v="34211"/>
    <n v="471"/>
    <s v="Bédarieux"/>
    <n v="12"/>
    <s v="Yves ROBIN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212"/>
    <s v="Poujols"/>
    <n v="34212"/>
    <n v="286"/>
    <s v="Lodève"/>
    <n v="20"/>
    <s v="Antoine GOUTELLE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213"/>
    <s v="Poussan"/>
    <n v="34213"/>
    <n v="3001"/>
    <s v="Montpellier"/>
    <n v="20"/>
    <s v="Florence SANCHEZ"/>
    <s v="Elisabeth Pourcel"/>
    <s v="Etang de Thau"/>
    <s v="Thau - Plaine d'Hérault"/>
    <s v="Canton 14 - Mèze"/>
    <s v="Audrey IMBERT et Christophe MORGO"/>
    <x v="11"/>
    <x v="11"/>
    <s v=" "/>
    <s v="oui"/>
    <s v="OUI"/>
    <x v="3"/>
  </r>
  <r>
    <n v="34214"/>
    <s v="Pouzolles"/>
    <n v="34214"/>
    <n v="1011"/>
    <s v="Béziers"/>
    <n v="20"/>
    <s v="Guy ROUCAYROL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215"/>
    <s v="Pouzols"/>
    <n v="34215"/>
    <n v="297"/>
    <s v="Montpellier"/>
    <n v="20"/>
    <s v="Véronique NEIL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216"/>
    <s v="Le Pradal"/>
    <n v="34216"/>
    <n v="368"/>
    <s v="Bédarieux"/>
    <n v="20"/>
    <s v="Christian BIES"/>
    <s v="Eric Andanson"/>
    <s v="Haut-Languedoc - Ouest Hérault"/>
    <s v="Mont d'Orb"/>
    <s v="Canton 06 - Clermont-l'Hérault"/>
    <s v="Jean-Luc FALIP et Marie PASSIEUX"/>
    <x v="4"/>
    <x v="4"/>
    <s v=" "/>
    <s v="oui"/>
    <s v="NON"/>
    <x v="0"/>
  </r>
  <r>
    <n v="34217"/>
    <s v="Prades-le-Lez"/>
    <n v="34217"/>
    <n v="884"/>
    <s v="Montpellier"/>
    <n v="20"/>
    <s v="Florence BRAU"/>
    <s v="Florence Coulon "/>
    <s v="Montpelliérain"/>
    <s v="Métropole"/>
    <s v="Canton 23 - Saint-Gély-du-Fesc"/>
    <s v="Laurence CRISTOL et Kléber MESQUIDA"/>
    <x v="10"/>
    <x v="10"/>
    <s v=" "/>
    <s v="oui"/>
    <s v="OUI"/>
    <x v="3"/>
  </r>
  <r>
    <n v="34218"/>
    <s v="Prades-sur-Vernazobre"/>
    <n v="34218"/>
    <n v="1994"/>
    <s v="Commune hors attraction des villes"/>
    <n v="30"/>
    <s v="Jean-Marie MILHAU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NON"/>
    <x v="0"/>
  </r>
  <r>
    <n v="34219"/>
    <s v="Prémian"/>
    <n v="34219"/>
    <n v="1660"/>
    <s v="Commune hors attraction des villes"/>
    <n v="30"/>
    <s v="Roland COUTOU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20"/>
    <s v="Le Puech"/>
    <n v="34220"/>
    <n v="1599"/>
    <s v="Lodève"/>
    <n v="20"/>
    <s v="Bernard GOUJON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221"/>
    <s v="Puéchabon"/>
    <n v="34221"/>
    <n v="3132"/>
    <s v="Montpellier"/>
    <n v="20"/>
    <s v="Xavier PEYRAUD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22"/>
    <s v="Puilacher"/>
    <n v="34222"/>
    <n v="270"/>
    <s v="Montpellier"/>
    <n v="20"/>
    <s v="Martine BONNET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223"/>
    <s v="Puimisson"/>
    <n v="34223"/>
    <n v="650"/>
    <s v="Béziers"/>
    <n v="20"/>
    <s v="Daniel BARTHES"/>
    <s v="Eric Andanson"/>
    <s v="Haut-Languedoc - Ouest Hérault"/>
    <s v="Biterrois"/>
    <s v="Canton 05 - Cazouls-lès-Béziers"/>
    <s v="Séverine SAUR et Philippe VIDAL"/>
    <x v="0"/>
    <x v="0"/>
    <s v=" "/>
    <s v="oui"/>
    <s v="NON"/>
    <x v="0"/>
  </r>
  <r>
    <n v="34224"/>
    <s v="Puissalicon"/>
    <n v="34224"/>
    <n v="1300"/>
    <s v="Béziers"/>
    <n v="20"/>
    <s v="Michel FARENC"/>
    <s v="Eric Andanson"/>
    <s v="Haut-Languedoc - Ouest Hérault"/>
    <s v="Biterrois"/>
    <s v="Canton 21 - Pézenas"/>
    <s v="Vincent GAUDY et Julie GARCIN SAUDO"/>
    <x v="0"/>
    <x v="0"/>
    <s v=" "/>
    <s v="oui"/>
    <s v="OUI"/>
    <x v="0"/>
  </r>
  <r>
    <n v="34225"/>
    <s v="Puisserguier"/>
    <n v="34225"/>
    <n v="2816"/>
    <s v="Béziers"/>
    <n v="20"/>
    <s v="Jean-Noël BADENAS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226"/>
    <s v="Quarante"/>
    <n v="34226"/>
    <n v="3009"/>
    <s v="Béziers"/>
    <n v="20"/>
    <s v="Gilbert RIVAYRAND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227"/>
    <s v="Restinclières"/>
    <n v="34227"/>
    <n v="627"/>
    <s v="Montpellier"/>
    <n v="20"/>
    <s v="Geniès BALAZUN"/>
    <s v="Florence Coulon "/>
    <s v="Montpelliérain"/>
    <s v="Métropole"/>
    <s v="Canton 07 - Le Crès"/>
    <s v="Yvon PELLET et Claudine VASSAS-MEJRI "/>
    <x v="10"/>
    <x v="10"/>
    <s v=" "/>
    <s v="oui"/>
    <s v="NON"/>
    <x v="3"/>
  </r>
  <r>
    <n v="34228"/>
    <s v="Rieussec"/>
    <n v="34228"/>
    <n v="2236"/>
    <s v="Commune hors attraction des villes"/>
    <n v="30"/>
    <s v="Alain MOULY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29"/>
    <s v="Riols"/>
    <n v="34229"/>
    <n v="5672"/>
    <s v="Commune hors attraction des villes"/>
    <n v="30"/>
    <s v="Jean-Marc SALEINE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30"/>
    <s v="Les Rives"/>
    <n v="34230"/>
    <n v="2403"/>
    <s v="Lodève"/>
    <n v="20"/>
    <s v="Jean-Paul AGUSSOL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231"/>
    <s v="Romiguières"/>
    <n v="34231"/>
    <n v="351"/>
    <s v="Lodève"/>
    <n v="20"/>
    <s v="Valérie ROUVEIROL"/>
    <s v="Elisabeth Pourcel"/>
    <s v="Coeur d'Hérault - Pic Saint-Loup"/>
    <s v="Mont d'Orb"/>
    <s v="Canton 11 - Lodève"/>
    <s v="Jacques RIGAUD et Gaëlle LEVEQUE"/>
    <x v="13"/>
    <x v="13"/>
    <s v="LARZAC COEUR D'HERAULT"/>
    <s v="oui"/>
    <s v="OUI"/>
    <x v="2"/>
  </r>
  <r>
    <n v="34232"/>
    <s v="Roquebrun"/>
    <n v="34232"/>
    <n v="3970"/>
    <s v="Commune hors attraction des villes"/>
    <n v="30"/>
    <s v="Catherine LISTER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33"/>
    <s v="Roqueredonde"/>
    <n v="34233"/>
    <n v="2297"/>
    <s v="Commune hors attraction des villes"/>
    <n v="30"/>
    <s v="Jean REVERBEL"/>
    <s v="Elisabeth Pourcel"/>
    <s v="Coeur d'Hérault - Pic Saint-Loup"/>
    <s v="Mont d'Orb"/>
    <s v="Canton 11 - Lodève"/>
    <s v="Jacques RIGAUD et Gaëlle LEVEQUE"/>
    <x v="13"/>
    <x v="13"/>
    <s v="LARZAC COEUR D'HERAULT"/>
    <s v="oui"/>
    <s v="NON"/>
    <x v="2"/>
  </r>
  <r>
    <n v="34234"/>
    <s v="Roquessels"/>
    <n v="34234"/>
    <n v="909"/>
    <s v="Commune hors attraction des villes"/>
    <n v="30"/>
    <s v="Michel SALLES"/>
    <s v="Eric Andanson"/>
    <s v="Haut-Languedoc - Ouest Hérault"/>
    <s v="Biterrois"/>
    <s v="Canton 05 - Cazouls-lès-Béziers"/>
    <s v="Séverine SAUR et Philippe VIDAL"/>
    <x v="0"/>
    <x v="0"/>
    <s v=" "/>
    <s v="oui"/>
    <s v="OUI"/>
    <x v="0"/>
  </r>
  <r>
    <n v="34235"/>
    <s v="Rosis"/>
    <n v="34235"/>
    <n v="5267"/>
    <s v="Bédarieux"/>
    <n v="20"/>
    <s v="Anne-Lise SAUTEREL"/>
    <s v="Eric Andanson"/>
    <s v="Haut-Languedoc - Ouest Hérault"/>
    <s v="Mont d'Orb"/>
    <s v="Canton 24 - Saint-Pons-de-Thomières"/>
    <s v="Marie-Pierre PONS et GABRIEL BLASCO"/>
    <x v="14"/>
    <x v="14"/>
    <s v=" "/>
    <s v="oui"/>
    <s v="NON"/>
    <x v="2"/>
  </r>
  <r>
    <n v="34236"/>
    <s v="Rouet"/>
    <n v="34236"/>
    <n v="2492"/>
    <s v="Montpellier"/>
    <n v="20"/>
    <s v="Myriam SABATIER"/>
    <s v="Florence Coulon "/>
    <s v="Coeur d'Hérault - Pic Saint-Loup"/>
    <s v="Pic Saint-Loup"/>
    <s v="Canton 11 - Lodève"/>
    <s v="Jacques RIGAUD et Gaëlle LEVEQUE"/>
    <x v="8"/>
    <x v="8"/>
    <s v=" "/>
    <s v="oui"/>
    <s v="NON"/>
    <x v="1"/>
  </r>
  <r>
    <n v="34237"/>
    <s v="Roujan"/>
    <n v="34237"/>
    <n v="1694"/>
    <s v="Commune hors attraction des villes"/>
    <n v="30"/>
    <s v="Jean BLANQUEFORT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238"/>
    <s v="Saint-André-de-Buèges"/>
    <n v="34238"/>
    <n v="1535"/>
    <s v="Montpellier"/>
    <n v="20"/>
    <s v="René ALBE"/>
    <s v="Florence Coulon "/>
    <s v="Coeur d'Hérault - Pic Saint-Loup"/>
    <s v="Pic Saint-Loup"/>
    <s v="Canton 11 - Lodève"/>
    <s v="Jacques RIGAUD et Gaëlle LEVEQUE"/>
    <x v="8"/>
    <x v="8"/>
    <s v=" "/>
    <s v="oui"/>
    <s v="NON"/>
    <x v="1"/>
  </r>
  <r>
    <n v="34239"/>
    <s v="Saint-André-de-Sangonis"/>
    <n v="34239"/>
    <n v="1967"/>
    <s v="Montpellier"/>
    <n v="20"/>
    <s v="Jean-Pierre GABAUDAN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240"/>
    <s v="Saint-Aunès"/>
    <n v="34240"/>
    <n v="1260"/>
    <s v="Montpellier"/>
    <n v="20"/>
    <s v="Alain HUGUES"/>
    <s v="Florence Coulon "/>
    <s v="Petite Camargue"/>
    <s v="Petite Camargue"/>
    <s v="Canton 13 - Mauguio"/>
    <s v="Brice BONNEFOUX et PATRICIA MOULLIN-TRAFFORT"/>
    <x v="15"/>
    <x v="15"/>
    <s v=" "/>
    <s v="oui"/>
    <s v="NON"/>
    <x v="1"/>
  </r>
  <r>
    <n v="34241"/>
    <s v="Saint-Bauzille-de-la-Sylve"/>
    <n v="34241"/>
    <n v="858"/>
    <s v="Montpellier"/>
    <n v="20"/>
    <s v="Grégory BRO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42"/>
    <s v="Saint-Bauzille-de-Montmel"/>
    <n v="34242"/>
    <n v="2136"/>
    <s v="Montpellier"/>
    <n v="20"/>
    <s v="Françoise MATHERON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243"/>
    <s v="Saint-Bauzille-de-Putois"/>
    <n v="34243"/>
    <n v="1832"/>
    <s v="Montpellier"/>
    <n v="20"/>
    <s v="Oscar ALLE"/>
    <s v="Florence Coulon "/>
    <s v="Coeur d'Hérault - Pic Saint-Loup"/>
    <s v="Pic Saint-Loup"/>
    <s v="Canton 11 - Lodève"/>
    <s v="Jacques RIGAUD et Gaëlle LEVEQUE"/>
    <x v="3"/>
    <x v="3"/>
    <s v="AIGOUAL CEVENNES"/>
    <s v="oui"/>
    <s v="OUI"/>
    <x v="2"/>
  </r>
  <r>
    <n v="34244"/>
    <s v="Saint-Brès"/>
    <n v="34244"/>
    <n v="480"/>
    <s v="Montpellier"/>
    <n v="20"/>
    <s v="Laurent JAOUL"/>
    <s v="Florence Coulon "/>
    <s v="Montpelliérain"/>
    <s v="Métropole"/>
    <s v="Canton 07 - Le Crès"/>
    <s v="Yvon PELLET et Claudine VASSAS-MEJRI "/>
    <x v="10"/>
    <x v="10"/>
    <s v=" "/>
    <s v="oui"/>
    <s v="OUI"/>
    <x v="3"/>
  </r>
  <r>
    <n v="34245"/>
    <s v="Saint-Chinian"/>
    <n v="34245"/>
    <n v="2294"/>
    <s v="Commune hors attraction des villes"/>
    <n v="30"/>
    <s v="Catherine COMBES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OUI"/>
    <x v="0"/>
  </r>
  <r>
    <n v="34246"/>
    <s v="Entre-Vignes"/>
    <n v="34246"/>
    <n v="1688"/>
    <s v="Montpellier"/>
    <n v="20"/>
    <s v="Jean-Jacques ESTEBAN"/>
    <s v="Florence Coulon "/>
    <s v="Petite Camargue"/>
    <s v="Petite Camargue"/>
    <s v="Canton 12 - Lunel"/>
    <s v="JEROME BOISSON et PAULETTE GOUGEON"/>
    <x v="12"/>
    <x v="12"/>
    <s v=" "/>
    <s v="oui"/>
    <s v="OUI"/>
    <x v="1"/>
  </r>
  <r>
    <n v="34247"/>
    <s v="Saint-Clément-de-Rivière"/>
    <n v="34247"/>
    <n v="1281"/>
    <s v="Montpellier"/>
    <n v="20"/>
    <s v="Laurence CRISTOL"/>
    <s v="Florence Coulon "/>
    <s v="Coeur d'Hérault - Pic Saint-Loup"/>
    <s v="Pic Saint-Loup"/>
    <s v="Canton 23 - Saint-Gély-du-Fesc"/>
    <s v="Laurence CRISTOL et Kléber MESQUIDA"/>
    <x v="8"/>
    <x v="8"/>
    <s v=" "/>
    <s v="oui"/>
    <s v="NON"/>
    <x v="1"/>
  </r>
  <r>
    <n v="34248"/>
    <s v="Sainte-Croix-de-Quintillargues"/>
    <n v="34248"/>
    <n v="657"/>
    <s v="Montpellier"/>
    <n v="20"/>
    <s v="Antoine MARTINEZ"/>
    <s v="Florence Coulon "/>
    <s v="Coeur d'Hérault - Pic Saint-Loup"/>
    <s v="Pic Saint-Loup"/>
    <s v="Canton 23 - Saint-Gély-du-Fesc"/>
    <s v="Laurence CRISTOL et Kléber MESQUIDA"/>
    <x v="8"/>
    <x v="8"/>
    <s v=" "/>
    <s v="oui"/>
    <s v="NON"/>
    <x v="1"/>
  </r>
  <r>
    <n v="34249"/>
    <s v="Saint-Drézéry"/>
    <n v="34249"/>
    <n v="1048"/>
    <s v="Montpellier"/>
    <n v="20"/>
    <s v="Jackie GALABRUN-BOULBES"/>
    <s v="Florence Coulon "/>
    <s v="Montpelliérain"/>
    <s v="Métropole"/>
    <s v="Canton 07 - Le Crès"/>
    <s v="Yvon PELLET et Claudine VASSAS-MEJRI "/>
    <x v="10"/>
    <x v="10"/>
    <s v=" "/>
    <s v="non"/>
    <s v="OUI"/>
    <x v="3"/>
  </r>
  <r>
    <n v="34250"/>
    <s v="Saint-Étienne-d'Albagnan"/>
    <n v="34250"/>
    <n v="2250"/>
    <s v="Commune hors attraction des villes"/>
    <n v="30"/>
    <s v="Franck LIGNON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51"/>
    <s v="Saint-Étienne-de-Gourgas"/>
    <n v="34251"/>
    <n v="1961"/>
    <s v="Lodève"/>
    <n v="20"/>
    <s v="Jean-Luc REQUI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252"/>
    <s v="Saint-Étienne-Estréchoux"/>
    <n v="34252"/>
    <n v="350"/>
    <s v="Bédarieux"/>
    <n v="20"/>
    <s v="Henri MATHIEU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253"/>
    <s v="Saint-Félix-de-l'Héras"/>
    <n v="34253"/>
    <n v="1266"/>
    <s v="Commune hors attraction des villes"/>
    <n v="30"/>
    <s v="Françoise OLIVIER"/>
    <s v="Elisabeth Pourcel"/>
    <s v="Coeur d'Hérault - Pic Saint-Loup"/>
    <s v="Coeur d'Hérault"/>
    <s v="Canton 11 - Lodève"/>
    <s v="Jacques RIGAUD et Gaëlle LEVEQUE"/>
    <x v="13"/>
    <x v="13"/>
    <s v="LARZAC COEUR D'HERAULT"/>
    <s v="non"/>
    <s v="NON"/>
    <x v="2"/>
  </r>
  <r>
    <n v="34254"/>
    <s v="Saint-Félix-de-Lodez"/>
    <n v="34254"/>
    <n v="444"/>
    <s v="Montpellier"/>
    <n v="20"/>
    <s v="Joseph RODRIGUEZ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255"/>
    <s v="Saint-Gély-du-Fesc"/>
    <n v="34255"/>
    <n v="1651"/>
    <s v="Montpellier"/>
    <n v="20"/>
    <s v="Michèle LERNOUT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256"/>
    <s v="Saint-Geniès-des-Mourgues"/>
    <n v="34256"/>
    <n v="1096"/>
    <s v="Montpellier"/>
    <n v="20"/>
    <s v="Jean-claude BOLTZ"/>
    <s v="Florence Coulon "/>
    <s v="Montpelliérain"/>
    <s v="Métropole"/>
    <s v="Canton 07 - Le Crès"/>
    <s v="Yvon PELLET et Claudine VASSAS-MEJRI "/>
    <x v="10"/>
    <x v="10"/>
    <s v=" "/>
    <s v="oui"/>
    <s v="NON"/>
    <x v="3"/>
  </r>
  <r>
    <n v="34257"/>
    <s v="Saint-Geniès-de-Varensal"/>
    <n v="34257"/>
    <n v="1196"/>
    <s v="Commune hors attraction des villes"/>
    <n v="30"/>
    <s v="Yvon PELLET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258"/>
    <s v="Saint-Geniès-de-Fontedit"/>
    <n v="34258"/>
    <n v="937"/>
    <s v="Béziers"/>
    <n v="20"/>
    <s v="Lionel GAYSSOT"/>
    <s v="Eric Andanson"/>
    <s v="Haut-Languedoc - Ouest Hérault"/>
    <s v="Biterrois"/>
    <s v="Canton 05 - Cazouls-lès-Béziers"/>
    <s v="Séverine SAUR et Philippe VIDAL"/>
    <x v="0"/>
    <x v="0"/>
    <s v=" "/>
    <s v="oui"/>
    <s v="OUI"/>
    <x v="0"/>
  </r>
  <r>
    <n v="34259"/>
    <s v="Saint-Georges-d'Orques"/>
    <n v="34259"/>
    <n v="930"/>
    <s v="Montpellier"/>
    <n v="20"/>
    <s v="Jean-François AUDRIN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260"/>
    <s v="Saint-Gervais-sur-Mare"/>
    <n v="34260"/>
    <n v="2418"/>
    <s v="Bédarieux"/>
    <n v="20"/>
    <s v="Jean-Luc FALIP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261"/>
    <s v="Saint-Guilhem-le-Désert"/>
    <n v="34261"/>
    <n v="3862"/>
    <s v="Montpellier"/>
    <n v="20"/>
    <s v="Robert SIEGEL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62"/>
    <s v="Saint-Guiraud"/>
    <n v="34262"/>
    <n v="608"/>
    <s v="Montpellier"/>
    <n v="20"/>
    <s v="Daniel REQUIRAND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63"/>
    <s v="Saint-Hilaire-de-Beauvoir"/>
    <n v="34263"/>
    <n v="459"/>
    <s v="Montpellier"/>
    <n v="20"/>
    <s v="Jean-Michel PECOUL"/>
    <s v="Florence Coulon "/>
    <s v="Coeur d'Hérault - Pic Saint-Loup"/>
    <s v="Petite Camargue"/>
    <s v="Canton 23 - Saint-Gély-du-Fesc"/>
    <s v="Laurence CRISTOL et Kléber MESQUIDA"/>
    <x v="8"/>
    <x v="8"/>
    <s v=" "/>
    <s v="oui"/>
    <s v="OUI"/>
    <x v="1"/>
  </r>
  <r>
    <n v="34264"/>
    <s v="Saint-Jean-de-Buèges"/>
    <n v="34264"/>
    <n v="1690"/>
    <s v="Montpellier"/>
    <n v="20"/>
    <s v="Laurent SENET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265"/>
    <s v="Saint-Jean-de-Cornies"/>
    <n v="34265"/>
    <n v="302"/>
    <s v="Montpellier"/>
    <n v="20"/>
    <s v="Jean-Claude ARMAND"/>
    <s v="Florence Coulon "/>
    <s v="Coeur d'Hérault - Pic Saint-Loup"/>
    <s v="Petite Camargue"/>
    <s v="Canton 23 - Saint-Gély-du-Fesc"/>
    <s v="Laurence CRISTOL et Kléber MESQUIDA"/>
    <x v="8"/>
    <x v="8"/>
    <s v=" "/>
    <s v="oui"/>
    <s v="OUI"/>
    <x v="1"/>
  </r>
  <r>
    <n v="34266"/>
    <s v="Saint-Jean-de-Cuculles"/>
    <n v="34266"/>
    <n v="910"/>
    <s v="Montpellier"/>
    <n v="20"/>
    <s v="Jean-Pierre RAMBIER"/>
    <s v="Florence Coulon "/>
    <s v="Coeur d'Hérault - Pic Saint-Loup"/>
    <s v="Pic Saint-Loup"/>
    <s v="Canton 23 - Saint-Gély-du-Fesc"/>
    <s v="Laurence CRISTOL et Kléber MESQUIDA"/>
    <x v="8"/>
    <x v="8"/>
    <s v=" "/>
    <s v="non"/>
    <s v="NON"/>
    <x v="1"/>
  </r>
  <r>
    <n v="34267"/>
    <s v="Saint-Jean-de-Fos"/>
    <n v="34267"/>
    <n v="1413"/>
    <s v="Montpellier"/>
    <n v="20"/>
    <s v="Pascal DELIEUZE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68"/>
    <s v="Saint-Jean-de-la-Blaquière"/>
    <n v="34268"/>
    <n v="1735"/>
    <s v="Montpellier"/>
    <n v="20"/>
    <s v="Bernard JAHNICH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269"/>
    <s v="Saint-Jean-de-Minervois"/>
    <n v="34269"/>
    <n v="3278"/>
    <s v="Commune hors attraction des villes"/>
    <n v="30"/>
    <s v="Sylvie MIQUEL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270"/>
    <s v="Saint-Jean-de-Védas"/>
    <n v="34270"/>
    <n v="1325"/>
    <s v="Montpellier"/>
    <n v="12"/>
    <s v="François RIO"/>
    <s v="Florence Coulon "/>
    <s v="Montpelliérain"/>
    <s v="Métropole"/>
    <s v="Canton 10 - Lattes"/>
    <s v="Cyril MEUNIER et Patricia WEBER"/>
    <x v="10"/>
    <x v="10"/>
    <s v=" "/>
    <s v="oui"/>
    <s v="OUI"/>
    <x v="3"/>
  </r>
  <r>
    <n v="34271"/>
    <s v="Saint-Julien"/>
    <n v="34271"/>
    <n v="1936"/>
    <s v="Bédarieux"/>
    <n v="20"/>
    <s v="Robert AZAIS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72"/>
    <s v="Saint-Just"/>
    <n v="34272"/>
    <n v="616"/>
    <s v="Montpellier"/>
    <n v="20"/>
    <s v="Hervé DIEULEFES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273"/>
    <s v="Saint-Martin-de-l'Arçon"/>
    <n v="34273"/>
    <n v="420"/>
    <s v="Bédarieux"/>
    <n v="20"/>
    <s v="Thierry SALLES-BLAYAC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74"/>
    <s v="Saint-Martin-de-Londres"/>
    <n v="34274"/>
    <n v="3857"/>
    <s v="Montpellier"/>
    <n v="20"/>
    <s v="Gérard BRUNEL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276"/>
    <s v="Saint-Mathieu-de-Tréviers"/>
    <n v="34276"/>
    <n v="2181"/>
    <s v="Montpellier"/>
    <n v="20"/>
    <s v="Jérôme LOPEZ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277"/>
    <s v="Saint-Maurice-Navacelles"/>
    <n v="34277"/>
    <n v="6894"/>
    <s v="Lodève"/>
    <n v="20"/>
    <s v="Clément THERY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278"/>
    <s v="Saint-Michel"/>
    <n v="34278"/>
    <n v="2550"/>
    <s v="Lodève"/>
    <n v="20"/>
    <s v="Sophie PRADEL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279"/>
    <s v="Saint-Nazaire-de-Ladarez"/>
    <n v="34279"/>
    <n v="2830"/>
    <s v="Béziers"/>
    <n v="20"/>
    <s v="Sylvie MILHAU-LERMET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280"/>
    <s v="Saint-Nazaire-de-Pézan"/>
    <n v="34280"/>
    <n v="545"/>
    <s v="Montpellier"/>
    <n v="20"/>
    <s v="Christophe CALVET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281"/>
    <s v="Saint-Pargoire"/>
    <n v="34281"/>
    <n v="2381"/>
    <s v="Montpellier"/>
    <n v="20"/>
    <s v="Jean-Luc  DARMANIN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OUI"/>
    <x v="1"/>
  </r>
  <r>
    <n v="34282"/>
    <s v="Saint-Paul-et-Valmalle"/>
    <n v="34282"/>
    <n v="1284"/>
    <s v="Montpellier"/>
    <n v="20"/>
    <s v="Jean-Pierre BERTOLINI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83"/>
    <s v="Saint-Pierre-de-la-Fage"/>
    <n v="34283"/>
    <n v="1852"/>
    <s v="Lodève"/>
    <n v="20"/>
    <s v="Pierre-Paul BOUSQUET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284"/>
    <s v="Saint-Pons-de-Thomières"/>
    <n v="34284"/>
    <n v="4107"/>
    <s v="Commune hors attraction des villes"/>
    <n v="30"/>
    <s v="André ARROUCHE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OUI"/>
    <x v="0"/>
  </r>
  <r>
    <n v="34285"/>
    <s v="Saint-Pons-de-Mauchiens"/>
    <n v="34285"/>
    <n v="1366"/>
    <s v="Commune hors attraction des villes"/>
    <n v="30"/>
    <s v="Christine PRADEL"/>
    <s v="Elisabeth Pourcel"/>
    <s v="Biterrois"/>
    <s v="Thau - Plaine d'Hérault"/>
    <s v="Canton 14 - Mèze"/>
    <s v="Audrey IMBERT et Christophe MORGO"/>
    <x v="1"/>
    <x v="1"/>
    <s v=" "/>
    <s v="oui"/>
    <s v="NON"/>
    <x v="1"/>
  </r>
  <r>
    <n v="34286"/>
    <s v="Saint-Privat"/>
    <n v="34286"/>
    <n v="2700"/>
    <s v="Lodève"/>
    <n v="20"/>
    <s v="Samuel GOUDOU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287"/>
    <s v="Saint-Saturnin-de-Lucian"/>
    <n v="34287"/>
    <n v="981"/>
    <s v="Montpellier"/>
    <n v="20"/>
    <s v="Florence QUINONERO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288"/>
    <s v="Saint-Sériès"/>
    <n v="34288"/>
    <n v="466"/>
    <s v="Montpellier"/>
    <n v="20"/>
    <s v="Pierre GRISELIN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289"/>
    <s v="Saint-Thibéry"/>
    <n v="34289"/>
    <n v="1856"/>
    <s v="Commune hors attraction des villes"/>
    <n v="30"/>
    <s v="Jean AUGÉ"/>
    <s v="Elisabeth Pourcel"/>
    <s v="Biterrois"/>
    <s v="Thau - Plaine d'Hérault"/>
    <s v="Canton 21 - Pézenas"/>
    <s v="Vincent GAUDY et Julie GARCIN SAUDO"/>
    <x v="1"/>
    <x v="1"/>
    <s v=" "/>
    <s v="oui"/>
    <s v="NON"/>
    <x v="1"/>
  </r>
  <r>
    <n v="34290"/>
    <s v="Saint-Vincent-de-Barbeyrargues"/>
    <n v="34290"/>
    <n v="223"/>
    <s v="Montpellier"/>
    <n v="20"/>
    <s v="Bernard FONTES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291"/>
    <s v="Saint-Vincent-d'Olargues"/>
    <n v="34291"/>
    <n v="1593"/>
    <s v="Commune hors attraction des villes"/>
    <n v="30"/>
    <s v="Frédéric CAUSSIL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292"/>
    <s v="Salasc"/>
    <n v="34292"/>
    <n v="914"/>
    <s v="Commune hors attraction des villes"/>
    <n v="30"/>
    <s v="Jacques ARRIBAT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OUI"/>
    <x v="2"/>
  </r>
  <r>
    <n v="34293"/>
    <s v="La Salvetat-sur-Agout"/>
    <n v="34293"/>
    <n v="9007"/>
    <s v="Commune hors attraction des villes"/>
    <n v="30"/>
    <s v="Francis CROS"/>
    <s v="Eric Andanson"/>
    <s v="Haut-Languedoc - Ouest Hérault"/>
    <s v="Haut Languedoc"/>
    <s v="Canton 24 - Saint-Pons-de-Thomières"/>
    <s v="Marie-Pierre PONS et GABRIEL BLASCO"/>
    <x v="14"/>
    <x v="14"/>
    <s v=" "/>
    <s v="oui"/>
    <s v="OUI"/>
    <x v="2"/>
  </r>
  <r>
    <n v="34294"/>
    <s v="Saturargues"/>
    <n v="34294"/>
    <n v="597"/>
    <s v="Montpellier"/>
    <n v="20"/>
    <s v="Martine DUBAYLE-CALBANO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295"/>
    <s v="Saussan"/>
    <n v="34295"/>
    <n v="367"/>
    <s v="Montpellier"/>
    <n v="20"/>
    <s v="Joël VERA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296"/>
    <s v="Saussines"/>
    <n v="34296"/>
    <n v="630"/>
    <s v="Montpellier"/>
    <n v="20"/>
    <s v="Isabelle DE MONTGOLFIER"/>
    <s v="Florence Coulon "/>
    <s v="Petite Camargue"/>
    <s v="Petite Camargue"/>
    <s v="Canton 12 - Lunel"/>
    <s v="JEROME BOISSON et PAULETTE GOUGEON"/>
    <x v="12"/>
    <x v="12"/>
    <s v=" "/>
    <s v="oui"/>
    <s v="OUI"/>
    <x v="1"/>
  </r>
  <r>
    <n v="34297"/>
    <s v="Sauteyrargues"/>
    <n v="34297"/>
    <n v="1280"/>
    <s v="Montpellier"/>
    <n v="20"/>
    <s v="Gilles BERGER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298"/>
    <s v="Sauvian"/>
    <n v="34298"/>
    <n v="1313"/>
    <s v="Béziers"/>
    <n v="20"/>
    <s v="Bernard AURIOL"/>
    <s v="Eric Andanson"/>
    <s v="Biterrois"/>
    <s v="Biterrois"/>
    <s v="Canton 04 - Béziers 3"/>
    <s v="Nicole ZENON et Marie-Emmanuelle CAMOUS"/>
    <x v="5"/>
    <x v="5"/>
    <s v=" "/>
    <s v="oui"/>
    <s v="NON"/>
    <x v="2"/>
  </r>
  <r>
    <n v="34299"/>
    <s v="Sérignan"/>
    <n v="34299"/>
    <n v="2745"/>
    <s v="Béziers"/>
    <n v="20"/>
    <s v="Frédéric LACAS"/>
    <s v="Eric Andanson"/>
    <s v="Biterrois"/>
    <s v="Biterrois"/>
    <s v="Canton 02 - Béziers 1"/>
    <s v="DENIS MARSALA et MARIE HIRTH"/>
    <x v="5"/>
    <x v="5"/>
    <s v=" "/>
    <s v="oui"/>
    <s v="OUI"/>
    <x v="2"/>
  </r>
  <r>
    <n v="34300"/>
    <s v="Servian"/>
    <n v="34300"/>
    <n v="4097"/>
    <s v="Béziers"/>
    <n v="20"/>
    <s v="Christophe THOMAS"/>
    <s v="Eric Andanson"/>
    <s v="Biterrois"/>
    <s v="Biterrois"/>
    <s v="Canton 04 - Béziers 3"/>
    <s v="Nicole ZENON et Marie-Emmanuelle CAMOUS"/>
    <x v="5"/>
    <x v="5"/>
    <s v=" "/>
    <s v="oui"/>
    <s v="OUI"/>
    <x v="2"/>
  </r>
  <r>
    <n v="34301"/>
    <s v="Sète"/>
    <n v="34301"/>
    <n v="4181"/>
    <s v="Sète"/>
    <n v="11"/>
    <s v="François COMMEINHES"/>
    <s v="Elisabeth Pourcel"/>
    <s v="Etang de Thau"/>
    <s v="Thau - Plaine d'Hérault"/>
    <s v="Canton 25 - Sète"/>
    <s v="Véronique CALUEBA et Jérôme LOPEZ"/>
    <x v="11"/>
    <x v="11"/>
    <s v=" "/>
    <s v="oui"/>
    <s v="NON"/>
    <x v="3"/>
  </r>
  <r>
    <n v="34302"/>
    <s v="Siran"/>
    <n v="34302"/>
    <n v="2101"/>
    <s v="Commune hors attraction des villes"/>
    <n v="30"/>
    <s v="Michel CARQUET"/>
    <s v="Eric Andanson"/>
    <s v="Haut-Languedoc - Ouest Hérault"/>
    <s v="Vignobles d'Ouest"/>
    <s v="Canton 24 - Saint-Pons-de-Thomières"/>
    <s v="Marie-Pierre PONS et GABRIEL BLASCO"/>
    <x v="2"/>
    <x v="2"/>
    <s v="HAUT LANGUEDOC ET VIGNOBLE"/>
    <s v="oui"/>
    <s v="OUI"/>
    <x v="0"/>
  </r>
  <r>
    <n v="34303"/>
    <s v="Sorbs"/>
    <n v="34303"/>
    <n v="2037"/>
    <s v="Commune hors attraction des villes"/>
    <n v="30"/>
    <s v="Eric OLLIER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OUI"/>
    <x v="2"/>
  </r>
  <r>
    <n v="34304"/>
    <s v="Soubès"/>
    <n v="34304"/>
    <n v="1224"/>
    <s v="Lodève"/>
    <n v="20"/>
    <s v="ISABELLE PERIGAULT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305"/>
    <s v="Le Soulié"/>
    <n v="34305"/>
    <n v="4045"/>
    <s v="Commune hors attraction des villes"/>
    <n v="30"/>
    <s v="Roger NEGRE"/>
    <s v="Eric Andanson"/>
    <s v="Haut-Languedoc - Ouest Hérault"/>
    <s v="Haut Languedoc"/>
    <s v="Canton 24 - Saint-Pons-de-Thomières"/>
    <s v="Marie-Pierre PONS et GABRIEL BLASCO"/>
    <x v="14"/>
    <x v="14"/>
    <s v=" "/>
    <s v="oui"/>
    <s v="NON"/>
    <x v="2"/>
  </r>
  <r>
    <n v="34306"/>
    <s v="Soumont"/>
    <n v="34306"/>
    <n v="1111"/>
    <s v="Lodève"/>
    <n v="20"/>
    <s v="Daniel VALETTE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307"/>
    <s v="Sussargues"/>
    <n v="34307"/>
    <n v="646"/>
    <s v="Montpellier"/>
    <n v="20"/>
    <s v="Eliane LLORET"/>
    <s v="Florence Coulon "/>
    <s v="Montpelliérain"/>
    <s v="Métropole"/>
    <s v="Canton 07 - Le Crès"/>
    <s v="Yvon PELLET et Claudine VASSAS-MEJRI "/>
    <x v="10"/>
    <x v="10"/>
    <s v=" "/>
    <s v="oui"/>
    <s v="OUI"/>
    <x v="3"/>
  </r>
  <r>
    <n v="34308"/>
    <s v="Taussac-la-Billière"/>
    <n v="34308"/>
    <n v="1463"/>
    <s v="Bédarieux"/>
    <n v="20"/>
    <s v="Bernard VINCHES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NON"/>
    <x v="0"/>
  </r>
  <r>
    <n v="34309"/>
    <s v="Teyran"/>
    <n v="34309"/>
    <n v="1017"/>
    <s v="Montpellier"/>
    <n v="20"/>
    <s v="Eric BASCOU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310"/>
    <s v="Thézan-lès-Béziers"/>
    <n v="34310"/>
    <n v="1367"/>
    <s v="Béziers"/>
    <n v="20"/>
    <s v="Alain DURO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311"/>
    <s v="Tourbes"/>
    <n v="34311"/>
    <n v="1610"/>
    <s v="Béziers"/>
    <n v="20"/>
    <s v="Lionel PUCHE"/>
    <s v="Eric Andanson"/>
    <s v="Biterrois"/>
    <s v="Thau - Plaine d'Hérault"/>
    <s v="Canton 21 - Pézenas"/>
    <s v="Vincent GAUDY et Julie GARCIN SAUDO"/>
    <x v="1"/>
    <x v="1"/>
    <s v=" "/>
    <s v="oui"/>
    <s v="NON"/>
    <x v="1"/>
  </r>
  <r>
    <n v="34312"/>
    <s v="La Tour-sur-Orb"/>
    <n v="34312"/>
    <n v="3088"/>
    <s v="Bédarieux"/>
    <n v="20"/>
    <s v="Bernard SALLETTES"/>
    <s v="Eric Andanson"/>
    <s v="Haut-Languedoc - Ouest Hérault"/>
    <s v="Mont d'Orb"/>
    <s v="Canton 06 - Clermont-l'Hérault"/>
    <s v="Jean-Luc FALIP et Marie PASSIEUX"/>
    <x v="4"/>
    <x v="4"/>
    <s v="HAUT LANGUEDOC ET VIGNOBLE"/>
    <s v="oui"/>
    <s v="OUI"/>
    <x v="0"/>
  </r>
  <r>
    <n v="34313"/>
    <s v="Tressan"/>
    <n v="34313"/>
    <n v="389"/>
    <s v="Montpellier"/>
    <n v="20"/>
    <s v="Daniel JAUDON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314"/>
    <s v="Le Triadou"/>
    <n v="34314"/>
    <n v="626"/>
    <s v="Montpellier"/>
    <n v="20"/>
    <s v="Pascal VABRE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315"/>
    <s v="Usclas-d'Hérault"/>
    <n v="34315"/>
    <n v="279"/>
    <s v="Commune hors attraction des villes"/>
    <n v="30"/>
    <s v="Christian RIGAUD"/>
    <s v="Elisabeth Pourcel"/>
    <s v="Coeur d'Hérault - Pic Saint-Loup"/>
    <s v="Coeur d'Hérault"/>
    <s v="Canton 14 - Mèze"/>
    <s v="Audrey IMBERT et Christophe MORGO"/>
    <x v="7"/>
    <x v="7"/>
    <s v="LARZAC COEUR D'HERAULT"/>
    <s v="oui"/>
    <s v="NON"/>
    <x v="2"/>
  </r>
  <r>
    <n v="34316"/>
    <s v="Usclas-du-Bosc"/>
    <n v="34316"/>
    <n v="451"/>
    <s v="Montpellier"/>
    <n v="20"/>
    <s v="Caroline DESMARETZ-CARLES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317"/>
    <s v="La Vacquerie-et-Saint-Martin-de-Castries"/>
    <n v="34317"/>
    <n v="4356"/>
    <s v="Commune hors attraction des villes"/>
    <n v="30"/>
    <s v="Martine BAÏSSET"/>
    <s v="Elisabeth Pourcel"/>
    <s v="Coeur d'Hérault - Pic Saint-Loup"/>
    <s v="Coeur d'Hérault"/>
    <s v="Canton 11 - Lodève"/>
    <s v="Jacques RIGAUD et Gaëlle LEVEQUE"/>
    <x v="13"/>
    <x v="13"/>
    <s v="LARZAC COEUR D'HERAULT"/>
    <s v="oui"/>
    <s v="NON"/>
    <x v="2"/>
  </r>
  <r>
    <n v="34318"/>
    <s v="Vacquières"/>
    <n v="34318"/>
    <n v="1468"/>
    <s v="Montpellier"/>
    <n v="20"/>
    <s v="Jean-Baptiste PANCHAU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319"/>
    <s v="Vailhan"/>
    <n v="34319"/>
    <n v="1132"/>
    <s v="Commune hors attraction des villes"/>
    <n v="30"/>
    <s v="Jean-Michel ULMER"/>
    <s v="Eric Andanson"/>
    <s v="Haut-Languedoc - Ouest Hérault"/>
    <s v="Biterrois"/>
    <s v="Canton 05 - Cazouls-lès-Béziers"/>
    <s v="Séverine SAUR et Philippe VIDAL"/>
    <x v="0"/>
    <x v="0"/>
    <s v="HAUT LANGUEDOC ET VIGNOBLE"/>
    <s v="oui"/>
    <s v="NON"/>
    <x v="0"/>
  </r>
  <r>
    <n v="34320"/>
    <s v="Vailhauquès"/>
    <n v="34320"/>
    <n v="1617"/>
    <s v="Montpellier"/>
    <n v="20"/>
    <s v="Hussam AL MALLAK"/>
    <s v="Florence Coulon "/>
    <s v="Coeur d'Hérault - Pic Saint-Loup"/>
    <s v="Pic Saint-Loup"/>
    <s v="Canton 23 - Saint-Gély-du-Fesc"/>
    <s v="Laurence CRISTOL et Kléber MESQUIDA"/>
    <x v="8"/>
    <x v="8"/>
    <s v=" "/>
    <s v="oui"/>
    <s v="OUI"/>
    <x v="1"/>
  </r>
  <r>
    <n v="34321"/>
    <s v="Valergues"/>
    <n v="34321"/>
    <n v="523"/>
    <s v="Montpellier"/>
    <n v="20"/>
    <s v="Jean-Louis BOUSCARAIN"/>
    <s v="Florence Coulon "/>
    <s v="Petite Camargue"/>
    <s v="Petite Camargue"/>
    <s v="Canton 13 - Mauguio"/>
    <s v="Brice BONNEFOUX et PATRICIA MOULLIN-TRAFFORT"/>
    <x v="15"/>
    <x v="15"/>
    <s v=" "/>
    <s v="oui"/>
    <s v="OUI"/>
    <x v="1"/>
  </r>
  <r>
    <n v="34322"/>
    <s v="Valflaunès"/>
    <n v="34322"/>
    <n v="2143"/>
    <s v="Montpellier"/>
    <n v="20"/>
    <s v="Gérard FABRE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323"/>
    <s v="Valmascle"/>
    <n v="34323"/>
    <n v="691"/>
    <s v="Commune hors attraction des villes"/>
    <n v="30"/>
    <s v="Gérald VALENTINI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324"/>
    <s v="Valras-Plage"/>
    <n v="34324"/>
    <n v="318"/>
    <s v="Béziers"/>
    <n v="20"/>
    <s v="Daniel BALLESTER"/>
    <s v="Eric Andanson"/>
    <s v="Biterrois"/>
    <s v="Biterrois"/>
    <s v="Canton 02 - Béziers 1"/>
    <s v="DENIS MARSALA et MARIE HIRTH"/>
    <x v="5"/>
    <x v="5"/>
    <s v=" "/>
    <s v="oui"/>
    <s v="NON"/>
    <x v="2"/>
  </r>
  <r>
    <n v="34325"/>
    <s v="Valros"/>
    <n v="34325"/>
    <n v="673"/>
    <s v="Béziers"/>
    <n v="20"/>
    <s v="Michel LOUP"/>
    <s v="Eric Andanson"/>
    <s v="Biterrois"/>
    <s v="Biterrois"/>
    <s v="Canton 21 - Pézenas"/>
    <s v="Vincent GAUDY et Julie GARCIN SAUDO"/>
    <x v="5"/>
    <x v="5"/>
    <s v=" "/>
    <s v="oui"/>
    <s v="OUI"/>
    <x v="2"/>
  </r>
  <r>
    <n v="34326"/>
    <s v="Vélieux"/>
    <n v="34326"/>
    <n v="1019"/>
    <s v="Commune hors attraction des villes"/>
    <n v="30"/>
    <s v="Marie-Françoise FRANC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327"/>
    <s v="Vendargues"/>
    <n v="34327"/>
    <n v="921"/>
    <s v="Montpellier"/>
    <n v="20"/>
    <s v="Guy LAURET"/>
    <s v="Florence Coulon "/>
    <s v="Montpelliérain"/>
    <s v="Métropole"/>
    <s v="Canton 07 - Le Crès"/>
    <s v="Yvon PELLET et Claudine VASSAS-MEJRI "/>
    <x v="10"/>
    <x v="10"/>
    <s v=" "/>
    <s v="oui"/>
    <s v="NON"/>
    <x v="3"/>
  </r>
  <r>
    <n v="34328"/>
    <s v="Vendémian"/>
    <n v="34328"/>
    <n v="1690"/>
    <s v="Montpellier"/>
    <n v="20"/>
    <s v="David CABLAT"/>
    <s v="Elisabeth Pourcel"/>
    <s v="Coeur d'Hérault - Pic Saint-Loup"/>
    <s v="Coeur d'Hérault"/>
    <s v="Canton 09 - Gignac"/>
    <s v="Jean-François SOTO et Nicole MORERE"/>
    <x v="6"/>
    <x v="6"/>
    <s v="LARZAC COEUR D'HERAULT"/>
    <s v="oui"/>
    <s v="NON"/>
    <x v="1"/>
  </r>
  <r>
    <n v="34329"/>
    <s v="Vendres"/>
    <n v="34329"/>
    <n v="3790"/>
    <s v="Béziers"/>
    <n v="20"/>
    <s v="Jean-Pierre PEREZ"/>
    <s v="Eric Andanson"/>
    <s v="Haut-Languedoc - Ouest Hérault"/>
    <s v="Biterrois"/>
    <s v="Canton 02 - Béziers 1"/>
    <s v="DENIS MARSALA et MARIE HIRTH"/>
    <x v="16"/>
    <x v="16"/>
    <s v=" "/>
    <s v="oui"/>
    <s v="OUI"/>
    <x v="2"/>
  </r>
  <r>
    <n v="34331"/>
    <s v="Verreries-de-Moussans"/>
    <n v="34331"/>
    <n v="1891"/>
    <s v="Commune hors attraction des villes"/>
    <n v="30"/>
    <s v="Franck POUJOL-RICARD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332"/>
    <s v="Vias"/>
    <n v="34332"/>
    <n v="3279"/>
    <s v="Agde"/>
    <n v="20"/>
    <s v="Jordan DARTIER"/>
    <s v="Elisabeth Pourcel"/>
    <s v="Biterrois"/>
    <s v="Thau - Plaine d'Hérault"/>
    <s v="Canton 01 - Agde"/>
    <s v="Sébastien FREY et Marie-Christine FABRE DE ROUSSAC"/>
    <x v="1"/>
    <x v="1"/>
    <s v=" "/>
    <s v="oui"/>
    <s v="NON"/>
    <x v="1"/>
  </r>
  <r>
    <n v="34333"/>
    <s v="Vic-la-Gardiole"/>
    <n v="34333"/>
    <n v="3067"/>
    <s v="Montpellier"/>
    <n v="20"/>
    <s v="Magali FERRIER"/>
    <s v="Elisabeth Pourcel"/>
    <s v="Etang de Thau"/>
    <s v="Thau - Plaine d'Hérault"/>
    <s v="Canton 08 - Frontignan"/>
    <s v="Pierre BOULDOIRE et Sylvie PRADELLE"/>
    <x v="11"/>
    <x v="11"/>
    <s v=" "/>
    <s v="oui"/>
    <s v="OUI"/>
    <x v="3"/>
  </r>
  <r>
    <n v="34334"/>
    <s v="Vieussan"/>
    <n v="34334"/>
    <n v="2805"/>
    <s v="Commune hors attraction des villes"/>
    <n v="30"/>
    <s v="Luc GUIRAUD"/>
    <s v="Eric Andanson"/>
    <s v="Haut-Languedoc - Ouest Hérault"/>
    <s v="Haut Languedoc"/>
    <s v="Canton 24 - Saint-Pons-de-Thomières"/>
    <s v="Marie-Pierre PONS et GABRIEL BLASCO"/>
    <x v="2"/>
    <x v="2"/>
    <s v="HAUT LANGUEDOC ET VIGNOBLE"/>
    <s v="oui"/>
    <s v="NON"/>
    <x v="0"/>
  </r>
  <r>
    <n v="34335"/>
    <s v="Villemagne-l'Argentière"/>
    <n v="34335"/>
    <n v="797"/>
    <s v="Bédarieux"/>
    <n v="20"/>
    <s v="Olivier ROUBICHON-OURADOU"/>
    <s v="Eric Andanson"/>
    <s v="Haut-Languedoc - Ouest Hérault"/>
    <s v="Mont d'Orb"/>
    <s v="Canton 06 - Clermont-l'Hérault"/>
    <s v="Jean-Luc FALIP et Marie PASSIEUX"/>
    <x v="4"/>
    <x v="4"/>
    <s v=" "/>
    <s v="oui"/>
    <s v="NON"/>
    <x v="0"/>
  </r>
  <r>
    <n v="34336"/>
    <s v="Villeneuve-lès-Béziers"/>
    <n v="34336"/>
    <n v="1734"/>
    <s v="Béziers"/>
    <n v="20"/>
    <s v="Fabrice SOLANS"/>
    <s v="Eric Andanson"/>
    <s v="Biterrois"/>
    <s v="Biterrois"/>
    <s v="Canton 04 - Béziers 3"/>
    <s v="Nicole ZENON et Marie-Emmanuelle CAMOUS"/>
    <x v="5"/>
    <x v="5"/>
    <s v=" "/>
    <s v="oui"/>
    <s v="NON"/>
    <x v="2"/>
  </r>
  <r>
    <n v="34337"/>
    <s v="Villeneuve-lès-Maguelone"/>
    <n v="34337"/>
    <n v="3140"/>
    <s v="Montpellier"/>
    <n v="20"/>
    <s v="Véronique NÉGRET"/>
    <s v="Florence Coulon "/>
    <s v="Montpelliérain"/>
    <s v="Métropole"/>
    <s v="Canton 22 - Pignan"/>
    <s v="Jacques MARTINIER et Michelle CASSAR"/>
    <x v="10"/>
    <x v="10"/>
    <s v=" "/>
    <s v="oui"/>
    <s v="OUI"/>
    <x v="3"/>
  </r>
  <r>
    <n v="34338"/>
    <s v="Villeneuvette"/>
    <n v="34338"/>
    <n v="313"/>
    <s v="Commune hors attraction des villes"/>
    <n v="30"/>
    <s v="Jacky PEREZ"/>
    <s v="Elisabeth Pourcel"/>
    <s v="Coeur d'Hérault - Pic Saint-Loup"/>
    <s v="Coeur d'Hérault"/>
    <s v="Canton 06 - Clermont-l'Hérault"/>
    <s v="Jean-Luc FALIP et Marie PASSIEUX"/>
    <x v="7"/>
    <x v="7"/>
    <s v="LARZAC COEUR D'HERAULT"/>
    <s v="oui"/>
    <s v="NON"/>
    <x v="2"/>
  </r>
  <r>
    <n v="34339"/>
    <s v="Villespassans"/>
    <n v="34339"/>
    <n v="1394"/>
    <s v="Béziers"/>
    <n v="20"/>
    <s v="Jean-Christophe PETIT"/>
    <s v="Eric Andanson"/>
    <s v="Haut-Languedoc - Ouest Hérault"/>
    <s v="Vignobles d'Ouest"/>
    <s v="Canton 24 - Saint-Pons-de-Thomières"/>
    <s v="Marie-Pierre PONS et GABRIEL BLASCO"/>
    <x v="9"/>
    <x v="9"/>
    <s v="HAUT LANGUEDOC ET VIGNOBLE"/>
    <s v="oui"/>
    <s v="NON"/>
    <x v="0"/>
  </r>
  <r>
    <n v="34340"/>
    <s v="Villetelle"/>
    <n v="34340"/>
    <n v="554"/>
    <s v="Montpellier"/>
    <n v="20"/>
    <s v="Jean-Pierre NAVAS"/>
    <s v="Florence Coulon "/>
    <s v="Petite Camargue"/>
    <s v="Petite Camargue"/>
    <s v="Canton 12 - Lunel"/>
    <s v="JEROME BOISSON et PAULETTE GOUGEON"/>
    <x v="12"/>
    <x v="12"/>
    <s v=" "/>
    <s v="oui"/>
    <s v="NON"/>
    <x v="1"/>
  </r>
  <r>
    <n v="34341"/>
    <s v="Villeveyrac"/>
    <n v="34341"/>
    <n v="3726"/>
    <s v="Montpellier"/>
    <n v="20"/>
    <s v="Christophe MORGO"/>
    <s v="Elisabeth Pourcel"/>
    <s v="Etang de Thau"/>
    <s v="Thau - Plaine d'Hérault"/>
    <s v="Canton 14 - Mèze"/>
    <s v="Audrey IMBERT et Christophe MORGO"/>
    <x v="11"/>
    <x v="11"/>
    <s v=" "/>
    <s v="oui"/>
    <s v="NON"/>
    <x v="3"/>
  </r>
  <r>
    <n v="34342"/>
    <s v="Viols-en-Laval"/>
    <n v="34342"/>
    <n v="1617"/>
    <s v="Montpellier"/>
    <n v="20"/>
    <s v="Luc GROS"/>
    <s v="Florence Coulon "/>
    <s v="Coeur d'Hérault - Pic Saint-Loup"/>
    <s v="Pic Saint-Loup"/>
    <s v="Canton 11 - Lodève"/>
    <s v="Jacques RIGAUD et Gaëlle LEVEQUE"/>
    <x v="8"/>
    <x v="8"/>
    <s v=" "/>
    <s v="oui"/>
    <s v="OUI"/>
    <x v="1"/>
  </r>
  <r>
    <n v="34343"/>
    <s v="Viols-le-Fort"/>
    <n v="34343"/>
    <n v="1687"/>
    <s v="Montpellier"/>
    <n v="20"/>
    <s v="Anne DURAND"/>
    <s v="Florence Coulon "/>
    <s v="Coeur d'Hérault - Pic Saint-Loup"/>
    <s v="Pic Saint-Loup"/>
    <s v="Canton 11 - Lodève"/>
    <s v="Jacques RIGAUD et Gaëlle LEVEQUE"/>
    <x v="8"/>
    <x v="8"/>
    <s v=" "/>
    <s v="oui"/>
    <s v="NON"/>
    <x v="1"/>
  </r>
  <r>
    <n v="34344"/>
    <s v="La Grande Motte"/>
    <n v="34344"/>
    <n v="968"/>
    <s v="Montpellier"/>
    <n v="20"/>
    <s v="Stéphan ROSSIGNOL"/>
    <s v="Florence Coulon "/>
    <s v="Petite Camargue"/>
    <s v="Petite Camargue"/>
    <s v="Canton 13 - Mauguio"/>
    <s v="Brice BONNEFOUX et PATRICIA MOULLIN-TRAFFORT"/>
    <x v="15"/>
    <x v="15"/>
    <m/>
    <s v="oui"/>
    <s v="NON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2">
  <r>
    <n v="34151"/>
    <s v="Marsillargues"/>
    <x v="0"/>
    <n v="267"/>
    <n v="497"/>
    <x v="0"/>
    <s v="8,73%"/>
    <n v="243"/>
    <s v="pas d'attrib."/>
    <n v="6"/>
    <n v="7.5"/>
    <n v="18"/>
    <x v="0"/>
    <n v="36"/>
    <n v="60"/>
    <n v="36"/>
    <n v="0"/>
    <n v="42"/>
    <n v="120"/>
    <n v="72"/>
    <n v="9"/>
    <n v="0.41320000000000001"/>
    <n v="7.0247999999999999"/>
    <n v="0.08"/>
    <n v="144"/>
    <n v="9"/>
    <n v="153"/>
    <n v="16"/>
    <n v="0"/>
    <n v="0"/>
    <n v="0"/>
    <n v="0"/>
    <n v="0"/>
    <n v="0"/>
    <n v="0"/>
    <n v="0"/>
    <n v="0"/>
    <n v="25"/>
    <n v="0"/>
    <n v="0"/>
    <n v="0"/>
    <n v="3"/>
    <s v="16,00"/>
    <s v="9,56"/>
    <n v="1"/>
  </r>
  <r>
    <n v="34324"/>
    <s v="Valras-Plage"/>
    <x v="1"/>
    <n v="60"/>
    <n v="722"/>
    <x v="0"/>
    <s v="1,92%"/>
    <n v="53"/>
    <s v="pas d'attrib."/>
    <s v="pas d'attrib."/>
    <n v="18.5"/>
    <n v="5"/>
    <x v="1"/>
    <n v="29"/>
    <n v="37"/>
    <n v="15"/>
    <n v="0"/>
    <n v="10"/>
    <n v="20"/>
    <n v="23"/>
    <n v="0"/>
    <n v="0"/>
    <n v="11.538500000000001"/>
    <n v="0.02"/>
    <n v="100"/>
    <n v="7"/>
    <n v="102"/>
    <n v="5"/>
    <n v="0"/>
    <n v="0"/>
    <n v="0"/>
    <n v="0"/>
    <n v="0"/>
    <n v="0"/>
    <n v="0"/>
    <n v="0"/>
    <n v="0"/>
    <n v="0"/>
    <n v="0"/>
    <n v="0"/>
    <n v="0"/>
    <n v="3"/>
    <s v="14,29"/>
    <s v="20,40"/>
    <n v="1"/>
  </r>
  <r>
    <n v="34003"/>
    <s v="Agde"/>
    <x v="2"/>
    <n v="1547"/>
    <n v="2890"/>
    <x v="1"/>
    <s v="8,72%"/>
    <n v="1204"/>
    <n v="50"/>
    <n v="15.33333333"/>
    <n v="4.3725490200000001"/>
    <n v="5.1891891890000004"/>
    <x v="2"/>
    <n v="322"/>
    <n v="223"/>
    <n v="192"/>
    <n v="18"/>
    <n v="248"/>
    <n v="515"/>
    <n v="372"/>
    <n v="51"/>
    <n v="0.58919999999999995"/>
    <n v="7.6588000000000003"/>
    <n v="0.08"/>
    <n v="926"/>
    <n v="65"/>
    <n v="906"/>
    <n v="110"/>
    <n v="20"/>
    <n v="50"/>
    <n v="0"/>
    <n v="0"/>
    <n v="0"/>
    <n v="8"/>
    <n v="0"/>
    <n v="0"/>
    <n v="23"/>
    <n v="35"/>
    <n v="81"/>
    <n v="75"/>
    <n v="50"/>
    <n v="3"/>
    <s v="14,25"/>
    <s v="8,24"/>
    <n v="1"/>
  </r>
  <r>
    <n v="34022"/>
    <s v="Baillargues"/>
    <x v="3"/>
    <n v="524"/>
    <n v="292"/>
    <x v="1"/>
    <s v="16,04%"/>
    <n v="331"/>
    <s v="pas d'attrib."/>
    <n v="5.6428571429999996"/>
    <n v="4.125"/>
    <n v="6.5714285710000002"/>
    <x v="3"/>
    <n v="79"/>
    <n v="66"/>
    <n v="46"/>
    <n v="1"/>
    <n v="103"/>
    <n v="142"/>
    <n v="75"/>
    <n v="10"/>
    <n v="0.3049"/>
    <n v="6.5574000000000003"/>
    <n v="0.1"/>
    <n v="209"/>
    <n v="40"/>
    <n v="233"/>
    <n v="37"/>
    <n v="0"/>
    <n v="66"/>
    <n v="0"/>
    <n v="0"/>
    <n v="0"/>
    <n v="0"/>
    <n v="0"/>
    <n v="0"/>
    <n v="0"/>
    <n v="17"/>
    <n v="2"/>
    <n v="120"/>
    <n v="0"/>
    <n v="3"/>
    <s v="5,23"/>
    <s v="6,30"/>
    <n v="1"/>
  </r>
  <r>
    <n v="34095"/>
    <s v="Fabrègues"/>
    <x v="3"/>
    <n v="188"/>
    <n v="601"/>
    <x v="1"/>
    <s v="5,96%"/>
    <n v="161"/>
    <s v="pas d'attrib."/>
    <n v="4.4000000000000004"/>
    <n v="3.7857142860000002"/>
    <n v="5.3333333329999997"/>
    <x v="4"/>
    <n v="44"/>
    <n v="53"/>
    <n v="32"/>
    <n v="0"/>
    <n v="60"/>
    <n v="66"/>
    <n v="28"/>
    <n v="7"/>
    <n v="0.62890000000000001"/>
    <n v="13.103400000000001"/>
    <n v="0.05"/>
    <n v="127"/>
    <n v="7"/>
    <n v="157"/>
    <n v="30"/>
    <n v="0"/>
    <n v="34"/>
    <n v="0"/>
    <n v="0"/>
    <n v="0"/>
    <n v="0"/>
    <n v="0"/>
    <n v="0"/>
    <n v="0"/>
    <n v="0"/>
    <n v="0"/>
    <n v="62"/>
    <n v="0"/>
    <n v="3"/>
    <s v="18,14"/>
    <s v="5,23"/>
    <n v="1"/>
  </r>
  <r>
    <n v="34108"/>
    <s v="Frontignan"/>
    <x v="4"/>
    <n v="1975"/>
    <n v="892"/>
    <x v="1"/>
    <s v="17,22%"/>
    <n v="1825"/>
    <s v="pas d'attrib."/>
    <n v="8.0476190479999996"/>
    <n v="4.3478260869999996"/>
    <n v="5.4857142860000003"/>
    <x v="5"/>
    <n v="338"/>
    <n v="300"/>
    <n v="192"/>
    <n v="8"/>
    <n v="276"/>
    <n v="764"/>
    <n v="590"/>
    <n v="187"/>
    <n v="0.83660000000000001"/>
    <n v="6.1670999999999996"/>
    <n v="0.18"/>
    <n v="1052"/>
    <n v="140"/>
    <n v="981"/>
    <n v="146"/>
    <n v="0"/>
    <n v="61"/>
    <n v="0"/>
    <n v="0"/>
    <n v="0"/>
    <n v="0"/>
    <n v="0"/>
    <n v="0"/>
    <n v="0"/>
    <n v="8"/>
    <n v="0"/>
    <n v="105"/>
    <n v="0"/>
    <n v="3"/>
    <s v="7,51"/>
    <s v="6,72"/>
    <n v="1"/>
  </r>
  <r>
    <n v="34113"/>
    <s v="Gigean"/>
    <x v="4"/>
    <n v="267"/>
    <n v="411"/>
    <x v="1"/>
    <s v="9,85%"/>
    <n v="243"/>
    <s v="pas d'attrib."/>
    <n v="7.2"/>
    <n v="9.1999999999999993"/>
    <n v="11"/>
    <x v="6"/>
    <n v="36"/>
    <n v="46"/>
    <n v="44"/>
    <n v="0"/>
    <n v="82"/>
    <n v="87"/>
    <n v="64"/>
    <n v="10"/>
    <n v="0.83330000000000004"/>
    <n v="7.5"/>
    <n v="0.09"/>
    <n v="117"/>
    <n v="21"/>
    <n v="148"/>
    <n v="14"/>
    <n v="0"/>
    <n v="61"/>
    <n v="0"/>
    <n v="0"/>
    <n v="0"/>
    <n v="0"/>
    <n v="0"/>
    <n v="0"/>
    <n v="0"/>
    <n v="17"/>
    <n v="0"/>
    <n v="109"/>
    <n v="10"/>
    <n v="3"/>
    <s v="5,57"/>
    <s v="10,57"/>
    <n v="1"/>
  </r>
  <r>
    <n v="34148"/>
    <s v="Maraussan"/>
    <x v="5"/>
    <n v="218"/>
    <n v="291"/>
    <x v="1"/>
    <s v="10,70%"/>
    <n v="176"/>
    <s v="pas d'attrib."/>
    <n v="2.636363636"/>
    <n v="1.2857142859999999"/>
    <n v="1.6521739129999999"/>
    <x v="7"/>
    <n v="29"/>
    <n v="36"/>
    <n v="38"/>
    <n v="0"/>
    <n v="34"/>
    <n v="85"/>
    <n v="52"/>
    <n v="5"/>
    <n v="1.1765000000000001"/>
    <n v="10.2362"/>
    <n v="0.09"/>
    <n v="146"/>
    <n v="15"/>
    <n v="121"/>
    <n v="62"/>
    <n v="0"/>
    <n v="38"/>
    <n v="0"/>
    <n v="0"/>
    <n v="0"/>
    <n v="0"/>
    <n v="0"/>
    <n v="0"/>
    <n v="0"/>
    <n v="0"/>
    <n v="0"/>
    <n v="76"/>
    <n v="0"/>
    <n v="3"/>
    <s v="9,73"/>
    <s v="1,95"/>
    <n v="1"/>
  </r>
  <r>
    <n v="34150"/>
    <s v="Marseillan"/>
    <x v="4"/>
    <n v="328"/>
    <n v="752"/>
    <x v="1"/>
    <s v="7,59%"/>
    <n v="277"/>
    <s v="pas d'attrib."/>
    <n v="30.666666670000001"/>
    <n v="9.1428571430000005"/>
    <n v="7"/>
    <x v="1"/>
    <n v="92"/>
    <n v="64"/>
    <n v="35"/>
    <n v="0"/>
    <n v="49"/>
    <n v="127"/>
    <n v="92"/>
    <n v="9"/>
    <n v="0.73260000000000003"/>
    <n v="5.8608000000000002"/>
    <n v="7.0000000000000007E-2"/>
    <n v="240"/>
    <n v="28"/>
    <n v="223"/>
    <n v="15"/>
    <n v="0"/>
    <n v="23"/>
    <n v="0"/>
    <n v="0"/>
    <n v="0"/>
    <n v="0"/>
    <n v="0"/>
    <n v="0"/>
    <n v="0"/>
    <n v="0"/>
    <n v="0"/>
    <n v="41"/>
    <n v="0"/>
    <n v="3"/>
    <s v="8,57"/>
    <s v="14,87"/>
    <n v="1"/>
  </r>
  <r>
    <n v="34213"/>
    <s v="Poussan"/>
    <x v="4"/>
    <n v="86"/>
    <n v="575"/>
    <x v="1"/>
    <s v="3,25%"/>
    <n v="77"/>
    <s v="pas d'attrib."/>
    <n v="22"/>
    <n v="2.307692308"/>
    <n v="0.91304347799999996"/>
    <x v="8"/>
    <n v="22"/>
    <n v="30"/>
    <n v="21"/>
    <n v="0"/>
    <n v="1"/>
    <n v="36"/>
    <n v="36"/>
    <n v="4"/>
    <n v="1.2987"/>
    <n v="2.7027000000000001"/>
    <n v="0.03"/>
    <n v="89"/>
    <n v="2"/>
    <n v="85"/>
    <n v="37"/>
    <n v="0"/>
    <n v="9"/>
    <n v="0"/>
    <n v="0"/>
    <n v="0"/>
    <n v="0"/>
    <n v="0"/>
    <n v="0"/>
    <n v="0"/>
    <n v="0"/>
    <n v="0"/>
    <n v="14"/>
    <n v="0"/>
    <n v="3"/>
    <s v="44,50"/>
    <s v="2,30"/>
    <n v="1"/>
  </r>
  <r>
    <n v="34255"/>
    <s v="Saint-Gély-du-Fesc"/>
    <x v="6"/>
    <n v="325"/>
    <n v="747"/>
    <x v="1"/>
    <s v="7,58%"/>
    <n v="174"/>
    <n v="7.5"/>
    <n v="10.16666667"/>
    <n v="7.5454545450000001"/>
    <n v="5.7777777779999999"/>
    <x v="9"/>
    <n v="61"/>
    <n v="83"/>
    <n v="52"/>
    <n v="2"/>
    <n v="31"/>
    <n v="45"/>
    <n v="83"/>
    <n v="13"/>
    <n v="0.58479999999999999"/>
    <n v="6.5789"/>
    <n v="0.04"/>
    <n v="239"/>
    <n v="6"/>
    <n v="242"/>
    <n v="28"/>
    <n v="0"/>
    <n v="21"/>
    <n v="0"/>
    <n v="0"/>
    <n v="0"/>
    <n v="0"/>
    <n v="0"/>
    <n v="0"/>
    <n v="0"/>
    <n v="16"/>
    <n v="0"/>
    <n v="39"/>
    <n v="0"/>
    <n v="3"/>
    <s v="39,83"/>
    <s v="8,64"/>
    <n v="1"/>
  </r>
  <r>
    <n v="34259"/>
    <s v="Saint-Georges-d'Orques"/>
    <x v="3"/>
    <n v="236"/>
    <n v="351"/>
    <x v="1"/>
    <s v="10,05%"/>
    <n v="140"/>
    <s v="pas d'attrib."/>
    <n v="14.5"/>
    <s v="pas d'attrib."/>
    <n v="20.5"/>
    <x v="4"/>
    <n v="29"/>
    <n v="38"/>
    <n v="41"/>
    <n v="5"/>
    <n v="23"/>
    <n v="39"/>
    <n v="57"/>
    <n v="16"/>
    <n v="0"/>
    <n v="2.8986000000000001"/>
    <n v="0.06"/>
    <n v="110"/>
    <n v="27"/>
    <n v="132"/>
    <n v="4"/>
    <n v="0"/>
    <n v="14"/>
    <n v="0"/>
    <n v="0"/>
    <n v="0"/>
    <n v="0"/>
    <n v="0"/>
    <n v="0"/>
    <n v="0"/>
    <n v="2"/>
    <n v="0"/>
    <n v="25"/>
    <n v="0"/>
    <n v="3"/>
    <s v="4,07"/>
    <s v="33,00"/>
    <n v="1"/>
  </r>
  <r>
    <n v="34298"/>
    <s v="Sauvian"/>
    <x v="1"/>
    <n v="218"/>
    <n v="410"/>
    <x v="1"/>
    <s v="8,68%"/>
    <n v="204"/>
    <s v="pas d'attrib."/>
    <n v="9"/>
    <n v="4.3"/>
    <n v="8.25"/>
    <x v="10"/>
    <n v="45"/>
    <n v="43"/>
    <n v="33"/>
    <n v="0"/>
    <n v="65"/>
    <n v="92"/>
    <n v="43"/>
    <n v="4"/>
    <n v="5.4187000000000003"/>
    <n v="10.6145"/>
    <n v="0.09"/>
    <n v="161"/>
    <n v="17"/>
    <n v="150"/>
    <n v="19"/>
    <n v="0"/>
    <n v="18"/>
    <n v="0"/>
    <n v="0"/>
    <n v="0"/>
    <n v="0"/>
    <n v="0"/>
    <n v="0"/>
    <n v="0"/>
    <n v="0"/>
    <n v="0"/>
    <n v="34"/>
    <n v="0"/>
    <n v="3"/>
    <s v="9,47"/>
    <s v="7,89"/>
    <n v="1"/>
  </r>
  <r>
    <n v="34023"/>
    <s v="Balaruc-les-Bains"/>
    <x v="4"/>
    <n v="471"/>
    <n v="469"/>
    <x v="2"/>
    <s v="12,53%"/>
    <n v="404"/>
    <n v="33"/>
    <n v="18"/>
    <n v="13"/>
    <n v="7.2857142860000002"/>
    <x v="11"/>
    <n v="144"/>
    <n v="104"/>
    <n v="51"/>
    <n v="10"/>
    <n v="77"/>
    <n v="170"/>
    <n v="127"/>
    <n v="20"/>
    <n v="0"/>
    <n v="5.0125000000000002"/>
    <n v="0.12"/>
    <n v="380"/>
    <n v="34"/>
    <n v="370"/>
    <n v="24"/>
    <n v="0"/>
    <n v="15"/>
    <n v="0"/>
    <n v="0"/>
    <n v="0"/>
    <n v="0"/>
    <n v="0"/>
    <n v="0"/>
    <n v="0"/>
    <n v="0"/>
    <n v="0"/>
    <n v="31"/>
    <n v="8"/>
    <n v="3"/>
    <s v="11,18"/>
    <s v="15,42"/>
    <n v="1"/>
  </r>
  <r>
    <n v="34031"/>
    <s v="Bessan"/>
    <x v="2"/>
    <n v="268"/>
    <n v="324"/>
    <x v="2"/>
    <s v="11,31%"/>
    <n v="222"/>
    <s v="pas d'attrib."/>
    <n v="1.8285714289999999"/>
    <n v="1.294117647"/>
    <n v="1.4210526320000001"/>
    <x v="7"/>
    <n v="64"/>
    <n v="44"/>
    <n v="27"/>
    <n v="1"/>
    <n v="67"/>
    <n v="83"/>
    <n v="69"/>
    <n v="2"/>
    <n v="0.45050000000000001"/>
    <n v="10.416700000000001"/>
    <n v="0.1"/>
    <n v="238"/>
    <n v="18"/>
    <n v="156"/>
    <n v="88"/>
    <n v="0"/>
    <n v="3"/>
    <n v="0"/>
    <n v="0"/>
    <n v="0"/>
    <n v="0"/>
    <n v="0"/>
    <n v="0"/>
    <n v="0"/>
    <n v="0"/>
    <n v="0"/>
    <n v="6"/>
    <n v="0"/>
    <n v="3"/>
    <s v="13,22"/>
    <s v="1,77"/>
    <n v="1"/>
  </r>
  <r>
    <n v="34032"/>
    <s v="Béziers"/>
    <x v="1"/>
    <n v="8726"/>
    <n v="1227"/>
    <x v="2"/>
    <s v="21,92%"/>
    <n v="7437"/>
    <n v="11.36842105"/>
    <n v="3.8738317759999998"/>
    <e v="#VALUE!"/>
    <e v="#VALUE!"/>
    <x v="12"/>
    <n v="829"/>
    <s v="1 053"/>
    <s v="1 030"/>
    <n v="181"/>
    <n v="1213"/>
    <n v="3140"/>
    <n v="2135"/>
    <n v="768"/>
    <n v="4.7333999999999996"/>
    <n v="9.5945"/>
    <n v="0.2"/>
    <n v="3479"/>
    <n v="756"/>
    <n v="3363"/>
    <n v="736"/>
    <n v="0"/>
    <n v="70"/>
    <n v="0"/>
    <n v="0"/>
    <n v="0"/>
    <n v="0"/>
    <n v="0"/>
    <n v="0"/>
    <n v="18"/>
    <n v="173"/>
    <n v="182"/>
    <n v="148"/>
    <n v="62"/>
    <n v="3"/>
    <s v="4,60"/>
    <s v="4,57"/>
    <n v="1"/>
  </r>
  <r>
    <n v="34057"/>
    <s v="Castelnau-le-Lez"/>
    <x v="3"/>
    <n v="2211"/>
    <n v="784"/>
    <x v="2"/>
    <s v="18,45%"/>
    <n v="1794"/>
    <n v="9.5454545450000001"/>
    <n v="3.7809523810000001"/>
    <n v="2.413533835"/>
    <n v="8.6060606059999998"/>
    <x v="13"/>
    <n v="397"/>
    <n v="321"/>
    <n v="284"/>
    <n v="82"/>
    <n v="563"/>
    <n v="754"/>
    <n v="346"/>
    <n v="49"/>
    <n v="1.2407999999999999"/>
    <n v="6.8414000000000001"/>
    <n v="0.17"/>
    <n v="1169"/>
    <n v="223"/>
    <n v="1268"/>
    <n v="282"/>
    <n v="0"/>
    <n v="95"/>
    <n v="0"/>
    <n v="0"/>
    <n v="0"/>
    <n v="0"/>
    <n v="0"/>
    <n v="0"/>
    <n v="0"/>
    <n v="82"/>
    <n v="0"/>
    <n v="189"/>
    <n v="0"/>
    <n v="2"/>
    <s v="5,24"/>
    <s v="4,50"/>
    <n v="1"/>
  </r>
  <r>
    <n v="34058"/>
    <s v="Castries"/>
    <x v="3"/>
    <n v="366"/>
    <n v="328"/>
    <x v="2"/>
    <s v="13,17%"/>
    <n v="302"/>
    <s v="pas d'attrib."/>
    <n v="5"/>
    <n v="2.6315789469999999"/>
    <n v="2.153846154"/>
    <x v="14"/>
    <n v="65"/>
    <n v="50"/>
    <n v="28"/>
    <n v="16"/>
    <n v="73"/>
    <n v="116"/>
    <n v="77"/>
    <n v="20"/>
    <n v="1"/>
    <n v="4.5454999999999997"/>
    <n v="0.11"/>
    <n v="186"/>
    <n v="28"/>
    <n v="181"/>
    <n v="45"/>
    <n v="0"/>
    <n v="23"/>
    <n v="0"/>
    <n v="0"/>
    <n v="0"/>
    <n v="0"/>
    <n v="0"/>
    <n v="0"/>
    <n v="0"/>
    <n v="25"/>
    <n v="0"/>
    <n v="45"/>
    <n v="7"/>
    <n v="3"/>
    <s v="6,64"/>
    <s v="4,02"/>
    <n v="1"/>
  </r>
  <r>
    <n v="34077"/>
    <s v="Clapiers"/>
    <x v="3"/>
    <n v="454"/>
    <n v="132"/>
    <x v="2"/>
    <s v="19,36%"/>
    <n v="350"/>
    <s v="pas d'attrib."/>
    <n v="6"/>
    <n v="6"/>
    <n v="8.3333333330000006"/>
    <x v="7"/>
    <n v="66"/>
    <n v="60"/>
    <n v="50"/>
    <n v="0"/>
    <n v="115"/>
    <n v="126"/>
    <n v="91"/>
    <n v="18"/>
    <n v="0.29239999999999999"/>
    <n v="5.7401999999999997"/>
    <n v="0.16"/>
    <n v="211"/>
    <n v="102"/>
    <n v="218"/>
    <n v="27"/>
    <n v="0"/>
    <n v="11"/>
    <n v="29"/>
    <n v="0"/>
    <n v="0"/>
    <n v="0"/>
    <n v="2"/>
    <n v="0"/>
    <n v="0"/>
    <n v="0"/>
    <n v="0"/>
    <n v="21"/>
    <n v="10"/>
    <n v="2"/>
    <s v="2,07"/>
    <s v="8,07"/>
    <n v="1"/>
  </r>
  <r>
    <n v="34088"/>
    <s v="Cournonterral"/>
    <x v="3"/>
    <n v="280"/>
    <n v="413"/>
    <x v="2"/>
    <s v="10,10%"/>
    <n v="244"/>
    <s v="pas d'attrib."/>
    <n v="3.1333333329999999"/>
    <n v="1.2903225810000001"/>
    <n v="2.4285714289999998"/>
    <x v="6"/>
    <n v="47"/>
    <n v="40"/>
    <n v="34"/>
    <n v="1"/>
    <n v="65"/>
    <n v="104"/>
    <n v="60"/>
    <n v="14"/>
    <n v="0.41320000000000001"/>
    <n v="11.2745"/>
    <n v="0.09"/>
    <n v="138"/>
    <n v="12"/>
    <n v="147"/>
    <n v="60"/>
    <n v="0"/>
    <n v="17"/>
    <n v="0"/>
    <n v="0"/>
    <n v="0"/>
    <n v="0"/>
    <n v="0"/>
    <n v="0"/>
    <n v="0"/>
    <n v="32"/>
    <n v="112"/>
    <n v="30"/>
    <n v="0"/>
    <n v="3"/>
    <s v="11,50"/>
    <s v="2,45"/>
    <n v="1"/>
  </r>
  <r>
    <n v="34090"/>
    <s v="Le Crès"/>
    <x v="3"/>
    <n v="593"/>
    <n v="454"/>
    <x v="2"/>
    <s v="14,16%"/>
    <n v="481"/>
    <n v="2"/>
    <n v="14.16666667"/>
    <n v="5.2142857139999998"/>
    <n v="17"/>
    <x v="14"/>
    <n v="85"/>
    <n v="73"/>
    <n v="68"/>
    <n v="39"/>
    <n v="136"/>
    <n v="207"/>
    <n v="90"/>
    <n v="9"/>
    <n v="0.21049999999999999"/>
    <n v="8"/>
    <n v="0.12"/>
    <n v="258"/>
    <n v="39"/>
    <n v="265"/>
    <n v="33"/>
    <n v="0"/>
    <n v="16"/>
    <n v="0"/>
    <n v="0"/>
    <n v="0"/>
    <n v="0"/>
    <n v="0"/>
    <n v="0"/>
    <n v="0"/>
    <n v="1"/>
    <n v="0"/>
    <n v="31"/>
    <n v="0"/>
    <n v="2"/>
    <s v="6,62"/>
    <s v="8,03"/>
    <n v="1"/>
  </r>
  <r>
    <n v="34101"/>
    <s v="Florensac"/>
    <x v="2"/>
    <n v="226"/>
    <n v="351"/>
    <x v="2"/>
    <s v="9,79%"/>
    <n v="163"/>
    <s v="pas d'attrib."/>
    <n v="14.5"/>
    <n v="2.7272727269999999"/>
    <n v="5.6666666670000003"/>
    <x v="7"/>
    <n v="29"/>
    <n v="30"/>
    <n v="17"/>
    <n v="0"/>
    <n v="23"/>
    <n v="78"/>
    <n v="51"/>
    <n v="11"/>
    <n v="0.63690000000000002"/>
    <n v="10.827999999999999"/>
    <n v="7.0000000000000007E-2"/>
    <n v="101"/>
    <n v="8"/>
    <n v="99"/>
    <n v="16"/>
    <n v="0"/>
    <n v="62"/>
    <n v="0"/>
    <n v="0"/>
    <n v="0"/>
    <n v="0"/>
    <n v="0"/>
    <n v="0"/>
    <n v="0"/>
    <n v="2"/>
    <n v="23"/>
    <n v="92"/>
    <n v="0"/>
    <n v="3"/>
    <s v="12,63"/>
    <s v="6,19"/>
    <n v="1"/>
  </r>
  <r>
    <n v="34116"/>
    <s v="Grabels"/>
    <x v="3"/>
    <n v="680"/>
    <n v="314"/>
    <x v="2"/>
    <s v="17,10%"/>
    <n v="470"/>
    <s v="pas d'attrib."/>
    <n v="6.5625"/>
    <n v="4.8947368420000004"/>
    <n v="5.1333333330000004"/>
    <x v="3"/>
    <n v="105"/>
    <n v="93"/>
    <n v="77"/>
    <n v="3"/>
    <n v="118"/>
    <n v="201"/>
    <n v="131"/>
    <n v="17"/>
    <n v="2.1739000000000002"/>
    <n v="6.9443999999999999"/>
    <n v="0.12"/>
    <n v="330"/>
    <n v="22"/>
    <n v="330"/>
    <n v="50"/>
    <n v="0"/>
    <n v="33"/>
    <n v="0"/>
    <n v="0"/>
    <n v="0"/>
    <n v="0"/>
    <n v="0"/>
    <n v="0"/>
    <n v="0"/>
    <n v="4"/>
    <n v="62"/>
    <n v="41"/>
    <n v="0"/>
    <n v="2"/>
    <s v="15,00"/>
    <s v="6,60"/>
    <n v="1"/>
  </r>
  <r>
    <n v="34120"/>
    <s v="Jacou"/>
    <x v="3"/>
    <n v="505"/>
    <n v="198"/>
    <x v="2"/>
    <s v="17,94%"/>
    <n v="434"/>
    <n v="5.3333333329999997"/>
    <n v="10.83333333"/>
    <n v="14.57142857"/>
    <n v="28"/>
    <x v="15"/>
    <n v="65"/>
    <n v="102"/>
    <n v="84"/>
    <n v="16"/>
    <n v="131"/>
    <n v="196"/>
    <n v="80"/>
    <n v="11"/>
    <n v="0.69930000000000003"/>
    <n v="5.5944000000000003"/>
    <n v="0.15"/>
    <n v="284"/>
    <n v="24"/>
    <n v="313"/>
    <n v="19"/>
    <n v="0"/>
    <n v="10"/>
    <n v="0"/>
    <n v="0"/>
    <n v="0"/>
    <n v="0"/>
    <n v="0"/>
    <n v="0"/>
    <n v="0"/>
    <n v="0"/>
    <n v="60"/>
    <n v="15"/>
    <n v="0"/>
    <n v="2"/>
    <s v="11,83"/>
    <s v="16,47"/>
    <n v="1"/>
  </r>
  <r>
    <n v="34123"/>
    <s v="Juvignac"/>
    <x v="3"/>
    <n v="823"/>
    <n v="535"/>
    <x v="2"/>
    <s v="15,15%"/>
    <n v="815"/>
    <n v="24.5"/>
    <n v="3.5918367349999998"/>
    <n v="3.263888889"/>
    <n v="13.47368421"/>
    <x v="16"/>
    <n v="176"/>
    <n v="235"/>
    <n v="256"/>
    <n v="4"/>
    <n v="214"/>
    <n v="397"/>
    <n v="185"/>
    <n v="15"/>
    <n v="0.9889"/>
    <n v="9.3793000000000006"/>
    <n v="0.16"/>
    <n v="757"/>
    <n v="116"/>
    <n v="802"/>
    <n v="142"/>
    <n v="0"/>
    <n v="26"/>
    <n v="0"/>
    <n v="0"/>
    <n v="0"/>
    <n v="0"/>
    <n v="0"/>
    <n v="0"/>
    <n v="0"/>
    <n v="29"/>
    <n v="0"/>
    <n v="45"/>
    <n v="0"/>
    <n v="2"/>
    <s v="6,53"/>
    <s v="5,65"/>
    <n v="1"/>
  </r>
  <r>
    <n v="34129"/>
    <s v="Lattes"/>
    <x v="3"/>
    <n v="950"/>
    <n v="1157"/>
    <x v="2"/>
    <s v="11,27%"/>
    <n v="813"/>
    <n v="7.8571428570000004"/>
    <n v="15.26315789"/>
    <n v="16.399999999999999"/>
    <n v="15.81818182"/>
    <x v="17"/>
    <n v="290"/>
    <n v="246"/>
    <n v="174"/>
    <n v="65"/>
    <n v="235"/>
    <n v="285"/>
    <n v="189"/>
    <n v="39"/>
    <n v="0.3886"/>
    <n v="5.7895000000000003"/>
    <n v="0.1"/>
    <n v="819"/>
    <n v="124"/>
    <n v="889"/>
    <n v="52"/>
    <n v="0"/>
    <n v="31"/>
    <n v="0"/>
    <n v="0"/>
    <n v="0"/>
    <n v="0"/>
    <n v="0"/>
    <n v="0"/>
    <n v="0"/>
    <n v="0"/>
    <n v="0"/>
    <n v="55"/>
    <n v="0"/>
    <n v="3"/>
    <s v="6,60"/>
    <s v="17,10"/>
    <n v="1"/>
  </r>
  <r>
    <n v="34145"/>
    <s v="Lunel"/>
    <x v="0"/>
    <n v="1970"/>
    <n v="932"/>
    <x v="2"/>
    <s v="16,97%"/>
    <n v="1699"/>
    <n v="34.5"/>
    <n v="6.3023255809999998"/>
    <n v="4.9137931029999997"/>
    <n v="12.36"/>
    <x v="18"/>
    <n v="271"/>
    <n v="285"/>
    <n v="309"/>
    <n v="31"/>
    <n v="326"/>
    <n v="690"/>
    <n v="511"/>
    <n v="141"/>
    <n v="0.41520000000000001"/>
    <n v="5.9890999999999996"/>
    <n v="0.15"/>
    <n v="1054"/>
    <n v="92"/>
    <n v="1028"/>
    <n v="128"/>
    <n v="0"/>
    <n v="0"/>
    <n v="0"/>
    <n v="0"/>
    <n v="0"/>
    <n v="0"/>
    <n v="0"/>
    <n v="0"/>
    <n v="0"/>
    <n v="0"/>
    <n v="0"/>
    <n v="0"/>
    <n v="0"/>
    <n v="3"/>
    <s v="11,46"/>
    <s v="8,03"/>
    <n v="1"/>
  </r>
  <r>
    <n v="34146"/>
    <s v="Lunel-Viel"/>
    <x v="0"/>
    <n v="304"/>
    <n v="150"/>
    <x v="2"/>
    <s v="16,73%"/>
    <n v="276"/>
    <s v="pas d'attrib."/>
    <n v="4.6363636359999996"/>
    <n v="1.2580645159999999"/>
    <n v="3"/>
    <x v="7"/>
    <n v="51"/>
    <n v="39"/>
    <n v="33"/>
    <n v="1"/>
    <n v="45"/>
    <n v="127"/>
    <n v="95"/>
    <n v="8"/>
    <n v="0.73260000000000003"/>
    <n v="3.4782999999999999"/>
    <n v="0.17"/>
    <n v="194"/>
    <n v="14"/>
    <n v="140"/>
    <n v="53"/>
    <n v="0"/>
    <n v="4"/>
    <n v="0"/>
    <n v="0"/>
    <n v="0"/>
    <n v="0"/>
    <n v="0"/>
    <n v="0"/>
    <n v="0"/>
    <n v="0"/>
    <n v="0"/>
    <n v="10"/>
    <n v="0"/>
    <n v="3"/>
    <s v="13,86"/>
    <s v="2,64"/>
    <n v="1"/>
  </r>
  <r>
    <n v="34157"/>
    <s v="Mèze"/>
    <x v="4"/>
    <n v="719"/>
    <n v="769"/>
    <x v="2"/>
    <s v="12,08%"/>
    <n v="629"/>
    <n v="14.5"/>
    <n v="8"/>
    <n v="8.2666666670000009"/>
    <n v="5.923076923"/>
    <x v="19"/>
    <n v="112"/>
    <n v="124"/>
    <n v="77"/>
    <n v="6"/>
    <n v="116"/>
    <n v="195"/>
    <n v="266"/>
    <n v="46"/>
    <n v="0.16259999999999999"/>
    <n v="5.6384999999999996"/>
    <n v="0.11"/>
    <n v="386"/>
    <n v="51"/>
    <n v="375"/>
    <n v="44"/>
    <n v="0"/>
    <n v="8"/>
    <n v="0"/>
    <n v="0"/>
    <n v="0"/>
    <n v="0"/>
    <n v="0"/>
    <n v="0"/>
    <n v="0"/>
    <n v="0"/>
    <n v="0"/>
    <n v="12"/>
    <n v="0"/>
    <n v="3"/>
    <s v="7,57"/>
    <s v="8,52"/>
    <n v="1"/>
  </r>
  <r>
    <n v="34162"/>
    <s v="Montagnac"/>
    <x v="2"/>
    <n v="274"/>
    <n v="217"/>
    <x v="2"/>
    <s v="13,94%"/>
    <n v="200"/>
    <s v="pas d'attrib."/>
    <n v="1.8571428569999999"/>
    <n v="1.24"/>
    <n v="2.6428571430000001"/>
    <x v="20"/>
    <n v="26"/>
    <n v="31"/>
    <n v="37"/>
    <n v="5"/>
    <n v="37"/>
    <n v="85"/>
    <n v="53"/>
    <n v="20"/>
    <n v="0"/>
    <n v="9.2714999999999996"/>
    <n v="0.11"/>
    <n v="156"/>
    <n v="7"/>
    <n v="112"/>
    <n v="53"/>
    <n v="0"/>
    <n v="19"/>
    <n v="0"/>
    <n v="0"/>
    <n v="0"/>
    <n v="0"/>
    <n v="0"/>
    <n v="0"/>
    <n v="0"/>
    <n v="0"/>
    <n v="0"/>
    <n v="22"/>
    <n v="0"/>
    <n v="3"/>
    <s v="22,29"/>
    <s v="2,11"/>
    <n v="1"/>
  </r>
  <r>
    <n v="34169"/>
    <s v="Montferrier-sur-Lez"/>
    <x v="3"/>
    <n v="71"/>
    <n v="369"/>
    <x v="2"/>
    <s v="4,03%"/>
    <n v="69"/>
    <s v="pas d'attrib."/>
    <s v="pas d'attrib."/>
    <n v="4.3333333329999997"/>
    <s v="pas d'attrib."/>
    <x v="8"/>
    <n v="17"/>
    <n v="13"/>
    <n v="10"/>
    <n v="0"/>
    <n v="14"/>
    <n v="40"/>
    <n v="15"/>
    <n v="0"/>
    <n v="0"/>
    <n v="4.3478000000000003"/>
    <n v="0.04"/>
    <n v="53"/>
    <n v="9"/>
    <n v="49"/>
    <n v="3"/>
    <n v="0"/>
    <n v="0"/>
    <n v="0"/>
    <n v="0"/>
    <n v="0"/>
    <n v="0"/>
    <n v="0"/>
    <n v="0"/>
    <n v="0"/>
    <n v="0"/>
    <n v="0"/>
    <n v="0"/>
    <n v="0"/>
    <n v="2"/>
    <s v="5,89"/>
    <s v="16,33"/>
    <n v="1"/>
  </r>
  <r>
    <n v="34172"/>
    <s v="Montpellier"/>
    <x v="3"/>
    <n v="34941"/>
    <n v="1337"/>
    <x v="2"/>
    <s v="24,08%"/>
    <n v="29653"/>
    <e v="#VALUE!"/>
    <e v="#VALUE!"/>
    <e v="#VALUE!"/>
    <e v="#VALUE!"/>
    <x v="21"/>
    <s v="5 387"/>
    <s v="4 337"/>
    <s v="4 041"/>
    <n v="3525"/>
    <n v="5279"/>
    <n v="11279"/>
    <n v="7315"/>
    <n v="2255"/>
    <n v="0.76590000000000003"/>
    <n v="5.9638"/>
    <n v="0.2"/>
    <n v="17771"/>
    <n v="2277"/>
    <n v="17963"/>
    <n v="1981"/>
    <n v="0"/>
    <n v="422"/>
    <n v="52"/>
    <n v="335"/>
    <n v="18"/>
    <n v="30"/>
    <n v="32"/>
    <n v="174"/>
    <n v="139"/>
    <n v="291"/>
    <n v="85"/>
    <n v="791"/>
    <n v="85"/>
    <n v="2"/>
    <s v="7,80"/>
    <s v="9,07"/>
    <n v="1"/>
  </r>
  <r>
    <n v="34198"/>
    <s v="Pérols"/>
    <x v="3"/>
    <n v="622"/>
    <n v="517"/>
    <x v="2"/>
    <s v="13,65%"/>
    <n v="170"/>
    <s v="pas d'attrib."/>
    <n v="121"/>
    <n v="43"/>
    <n v="59"/>
    <x v="22"/>
    <n v="121"/>
    <n v="86"/>
    <n v="59"/>
    <n v="0"/>
    <n v="61"/>
    <n v="65"/>
    <n v="29"/>
    <n v="15"/>
    <n v="0"/>
    <n v="2.3529"/>
    <n v="0.04"/>
    <n v="347"/>
    <n v="94"/>
    <n v="335"/>
    <n v="4"/>
    <n v="0"/>
    <n v="27"/>
    <n v="0"/>
    <n v="0"/>
    <n v="0"/>
    <n v="0"/>
    <n v="0"/>
    <n v="0"/>
    <n v="0"/>
    <n v="17"/>
    <n v="0"/>
    <n v="50"/>
    <n v="0"/>
    <n v="3"/>
    <s v="3,69"/>
    <s v="83,75"/>
    <n v="1"/>
  </r>
  <r>
    <n v="34199"/>
    <s v="Pézenas"/>
    <x v="2"/>
    <n v="850"/>
    <n v="167"/>
    <x v="2"/>
    <s v="20,88%"/>
    <n v="624"/>
    <s v="pas d'attrib."/>
    <n v="14.71428571"/>
    <n v="4.6666666670000003"/>
    <n v="4.2142857139999998"/>
    <x v="23"/>
    <n v="103"/>
    <n v="70"/>
    <n v="59"/>
    <n v="19"/>
    <n v="116"/>
    <n v="221"/>
    <n v="206"/>
    <n v="62"/>
    <n v="0.16309999999999999"/>
    <n v="6.5252999999999997"/>
    <n v="0.15"/>
    <n v="298"/>
    <n v="58"/>
    <n v="280"/>
    <n v="36"/>
    <n v="0"/>
    <n v="31"/>
    <n v="0"/>
    <n v="0"/>
    <n v="0"/>
    <n v="0"/>
    <n v="0"/>
    <n v="0"/>
    <n v="0"/>
    <n v="109"/>
    <n v="70"/>
    <n v="65"/>
    <n v="13"/>
    <n v="3"/>
    <s v="5,14"/>
    <s v="7,78"/>
    <n v="1"/>
  </r>
  <r>
    <n v="34202"/>
    <s v="Pignan"/>
    <x v="3"/>
    <n v="499"/>
    <n v="354"/>
    <x v="2"/>
    <s v="14,62%"/>
    <n v="452"/>
    <s v="pas d'attrib."/>
    <n v="17.714285709999999"/>
    <n v="8.923076923"/>
    <n v="22"/>
    <x v="9"/>
    <n v="124"/>
    <n v="116"/>
    <n v="88"/>
    <n v="0"/>
    <n v="105"/>
    <n v="195"/>
    <n v="117"/>
    <n v="35"/>
    <n v="0.44350000000000001"/>
    <n v="4.8780000000000001"/>
    <n v="0.16"/>
    <n v="307"/>
    <n v="18"/>
    <n v="370"/>
    <n v="24"/>
    <n v="0"/>
    <n v="4"/>
    <n v="0"/>
    <n v="0"/>
    <n v="0"/>
    <n v="0"/>
    <n v="0"/>
    <n v="0"/>
    <n v="0"/>
    <n v="10"/>
    <n v="0"/>
    <n v="7"/>
    <n v="0"/>
    <n v="3"/>
    <s v="17,06"/>
    <s v="15,42"/>
    <n v="1"/>
  </r>
  <r>
    <n v="34217"/>
    <s v="Prades-le-Lez"/>
    <x v="3"/>
    <n v="294"/>
    <n v="374"/>
    <x v="2"/>
    <s v="10,99%"/>
    <n v="239"/>
    <s v="pas d'attrib."/>
    <n v="13"/>
    <n v="3.625"/>
    <n v="4.6666666670000003"/>
    <x v="24"/>
    <n v="39"/>
    <n v="29"/>
    <n v="28"/>
    <n v="1"/>
    <n v="51"/>
    <n v="98"/>
    <n v="75"/>
    <n v="14"/>
    <n v="0"/>
    <n v="7.5629999999999997"/>
    <n v="0.1"/>
    <n v="143"/>
    <n v="75"/>
    <n v="136"/>
    <n v="17"/>
    <n v="0"/>
    <n v="15"/>
    <n v="0"/>
    <n v="0"/>
    <n v="0"/>
    <n v="0"/>
    <n v="0"/>
    <n v="0"/>
    <n v="0"/>
    <n v="8"/>
    <n v="0"/>
    <n v="30"/>
    <n v="0"/>
    <n v="3"/>
    <s v="1,91"/>
    <s v="8,00"/>
    <n v="1"/>
  </r>
  <r>
    <n v="34247"/>
    <s v="Saint-Clément-de-Rivière"/>
    <x v="6"/>
    <n v="235"/>
    <n v="324"/>
    <x v="2"/>
    <s v="10,51%"/>
    <n v="29"/>
    <n v="1.5"/>
    <s v="pas d'attrib."/>
    <s v="pas d'attrib."/>
    <s v="pas d'attrib."/>
    <x v="8"/>
    <n v="16"/>
    <n v="7"/>
    <n v="4"/>
    <n v="20"/>
    <n v="4"/>
    <n v="5"/>
    <n v="0"/>
    <n v="0"/>
    <n v="3.4483000000000001"/>
    <n v="6.8966000000000003"/>
    <n v="0.01"/>
    <n v="29"/>
    <n v="4"/>
    <n v="33"/>
    <n v="2"/>
    <n v="0"/>
    <n v="24"/>
    <n v="0"/>
    <n v="36"/>
    <n v="2"/>
    <n v="0"/>
    <n v="0"/>
    <n v="0"/>
    <n v="0"/>
    <n v="16"/>
    <n v="0"/>
    <n v="38"/>
    <n v="0"/>
    <n v="3"/>
    <s v="7,25"/>
    <s v="16,50"/>
    <n v="1"/>
  </r>
  <r>
    <n v="34270"/>
    <s v="Saint-Jean-de-Védas"/>
    <x v="3"/>
    <n v="739"/>
    <n v="680"/>
    <x v="2"/>
    <s v="13,02%"/>
    <n v="748"/>
    <n v="40"/>
    <n v="4.7916666670000003"/>
    <n v="3.4729729730000001"/>
    <n v="6.0250000000000004"/>
    <x v="25"/>
    <n v="230"/>
    <n v="257"/>
    <n v="241"/>
    <n v="2"/>
    <n v="243"/>
    <n v="289"/>
    <n v="198"/>
    <n v="16"/>
    <n v="0.53979999999999995"/>
    <n v="5.3834"/>
    <n v="0.17"/>
    <n v="741"/>
    <n v="109"/>
    <n v="868"/>
    <n v="163"/>
    <n v="0"/>
    <n v="42"/>
    <n v="28"/>
    <n v="0"/>
    <n v="0"/>
    <n v="0"/>
    <n v="28"/>
    <n v="0"/>
    <n v="0"/>
    <n v="0"/>
    <n v="0"/>
    <n v="76"/>
    <n v="19"/>
    <n v="2"/>
    <s v="6,80"/>
    <s v="5,33"/>
    <n v="1"/>
  </r>
  <r>
    <n v="34299"/>
    <s v="Sérignan"/>
    <x v="1"/>
    <n v="400"/>
    <n v="632"/>
    <x v="2"/>
    <s v="9,69%"/>
    <n v="356"/>
    <s v="pas d'attrib."/>
    <n v="5.0476190479999996"/>
    <n v="2.4750000000000001"/>
    <n v="5.4"/>
    <x v="26"/>
    <n v="106"/>
    <n v="99"/>
    <n v="81"/>
    <n v="0"/>
    <n v="86"/>
    <n v="171"/>
    <n v="97"/>
    <n v="2"/>
    <n v="1.4205000000000001"/>
    <n v="9.1502999999999997"/>
    <n v="0.11"/>
    <n v="381"/>
    <n v="109"/>
    <n v="331"/>
    <n v="76"/>
    <n v="0"/>
    <n v="9"/>
    <n v="0"/>
    <n v="0"/>
    <n v="0"/>
    <n v="0"/>
    <n v="0"/>
    <n v="0"/>
    <n v="0"/>
    <n v="0"/>
    <n v="0"/>
    <n v="17"/>
    <n v="0"/>
    <n v="3"/>
    <s v="3,50"/>
    <s v="4,36"/>
    <n v="1"/>
  </r>
  <r>
    <n v="34300"/>
    <s v="Servian"/>
    <x v="1"/>
    <n v="254"/>
    <n v="331"/>
    <x v="2"/>
    <s v="10,85%"/>
    <n v="207"/>
    <s v="pas d'attrib."/>
    <n v="40"/>
    <n v="6.8333333329999997"/>
    <n v="5"/>
    <x v="27"/>
    <n v="40"/>
    <n v="41"/>
    <n v="30"/>
    <n v="0"/>
    <n v="29"/>
    <n v="83"/>
    <n v="83"/>
    <n v="12"/>
    <n v="1.4778"/>
    <n v="8.3743999999999996"/>
    <n v="0.1"/>
    <n v="157"/>
    <n v="24"/>
    <n v="135"/>
    <n v="13"/>
    <n v="0"/>
    <n v="13"/>
    <n v="0"/>
    <n v="0"/>
    <n v="0"/>
    <n v="0"/>
    <n v="0"/>
    <n v="0"/>
    <n v="0"/>
    <n v="0"/>
    <n v="0"/>
    <n v="25"/>
    <n v="0"/>
    <n v="3"/>
    <s v="6,54"/>
    <s v="10,38"/>
    <n v="1"/>
  </r>
  <r>
    <n v="34301"/>
    <s v="Sète"/>
    <x v="4"/>
    <n v="4946"/>
    <n v="1129"/>
    <x v="2"/>
    <s v="20,35%"/>
    <n v="4038"/>
    <n v="32.571428570000002"/>
    <n v="27.88"/>
    <n v="13.16326531"/>
    <n v="14.68965517"/>
    <x v="28"/>
    <n v="697"/>
    <n v="645"/>
    <n v="426"/>
    <n v="106"/>
    <n v="777"/>
    <n v="1677"/>
    <n v="1163"/>
    <n v="315"/>
    <n v="1.4486000000000001"/>
    <n v="6.2244999999999999"/>
    <n v="0.18"/>
    <n v="2281"/>
    <n v="260"/>
    <n v="2222"/>
    <n v="110"/>
    <n v="0"/>
    <n v="69"/>
    <n v="0"/>
    <n v="0"/>
    <n v="0"/>
    <n v="0"/>
    <n v="0"/>
    <n v="0"/>
    <n v="0"/>
    <n v="15"/>
    <n v="0"/>
    <n v="137"/>
    <n v="12"/>
    <n v="3"/>
    <s v="8,77"/>
    <s v="20,20"/>
    <n v="1"/>
  </r>
  <r>
    <n v="34327"/>
    <s v="Vendargues"/>
    <x v="3"/>
    <n v="377"/>
    <n v="376"/>
    <x v="2"/>
    <s v="12,50%"/>
    <n v="351"/>
    <n v="23"/>
    <n v="8.6"/>
    <n v="2.3333333330000001"/>
    <n v="5.9"/>
    <x v="29"/>
    <n v="86"/>
    <n v="84"/>
    <n v="59"/>
    <n v="7"/>
    <n v="83"/>
    <n v="186"/>
    <n v="70"/>
    <n v="5"/>
    <n v="0.56979999999999997"/>
    <n v="15.697699999999999"/>
    <n v="0.13"/>
    <n v="277"/>
    <n v="87"/>
    <n v="275"/>
    <n v="57"/>
    <n v="0"/>
    <n v="25"/>
    <n v="0"/>
    <n v="0"/>
    <n v="0"/>
    <n v="0"/>
    <n v="0"/>
    <n v="0"/>
    <n v="0"/>
    <n v="0"/>
    <n v="0"/>
    <n v="46"/>
    <n v="0"/>
    <n v="2"/>
    <s v="3,18"/>
    <s v="4,82"/>
    <n v="1"/>
  </r>
  <r>
    <n v="34332"/>
    <s v="Vias"/>
    <x v="2"/>
    <n v="197"/>
    <n v="545"/>
    <x v="2"/>
    <s v="6,63%"/>
    <n v="199"/>
    <s v="pas d'attrib."/>
    <n v="1.6875"/>
    <n v="1.6969696970000001"/>
    <n v="2"/>
    <x v="30"/>
    <n v="54"/>
    <n v="56"/>
    <n v="30"/>
    <n v="4"/>
    <n v="49"/>
    <n v="89"/>
    <n v="50"/>
    <n v="7"/>
    <n v="1.5227999999999999"/>
    <n v="31.677"/>
    <n v="0.08"/>
    <n v="199"/>
    <n v="6"/>
    <n v="166"/>
    <n v="80"/>
    <n v="0"/>
    <n v="28"/>
    <n v="0"/>
    <n v="0"/>
    <n v="0"/>
    <n v="0"/>
    <n v="0"/>
    <n v="0"/>
    <n v="0"/>
    <n v="16"/>
    <n v="30"/>
    <n v="59"/>
    <n v="30"/>
    <n v="3"/>
    <s v="33,17"/>
    <s v="2,08"/>
    <n v="1"/>
  </r>
  <r>
    <n v="34336"/>
    <s v="Villeneuve-lès-Béziers"/>
    <x v="1"/>
    <n v="109"/>
    <n v="402"/>
    <x v="2"/>
    <s v="5,32%"/>
    <n v="93"/>
    <s v="pas d'attrib."/>
    <n v="6.5555555559999998"/>
    <n v="5"/>
    <n v="5.5714285710000002"/>
    <x v="0"/>
    <n v="59"/>
    <n v="85"/>
    <n v="39"/>
    <n v="0"/>
    <n v="25"/>
    <n v="46"/>
    <n v="22"/>
    <n v="0"/>
    <n v="2.2222"/>
    <n v="1.7241"/>
    <n v="0.05"/>
    <n v="134"/>
    <n v="16"/>
    <n v="203"/>
    <n v="33"/>
    <n v="0"/>
    <n v="89"/>
    <n v="0"/>
    <n v="0"/>
    <n v="0"/>
    <n v="0"/>
    <n v="0"/>
    <n v="0"/>
    <n v="0"/>
    <n v="13"/>
    <n v="0"/>
    <n v="168"/>
    <n v="11"/>
    <n v="3"/>
    <s v="8,38"/>
    <s v="6,15"/>
    <n v="1"/>
  </r>
  <r>
    <n v="34337"/>
    <s v="Villeneuve-lès-Maguelone"/>
    <x v="3"/>
    <n v="584"/>
    <n v="418"/>
    <x v="2"/>
    <s v="14,57%"/>
    <n v="488"/>
    <s v="pas d'attrib."/>
    <n v="15.375"/>
    <n v="7.375"/>
    <n v="11.33333333"/>
    <x v="14"/>
    <n v="123"/>
    <n v="118"/>
    <n v="68"/>
    <n v="4"/>
    <n v="115"/>
    <n v="213"/>
    <n v="121"/>
    <n v="35"/>
    <n v="0.41489999999999999"/>
    <n v="5.8333000000000004"/>
    <n v="0.12"/>
    <n v="313"/>
    <n v="29"/>
    <n v="361"/>
    <n v="30"/>
    <n v="0"/>
    <n v="52"/>
    <n v="0"/>
    <n v="0"/>
    <n v="0"/>
    <n v="0"/>
    <n v="0"/>
    <n v="0"/>
    <n v="0"/>
    <n v="2"/>
    <n v="0"/>
    <n v="97"/>
    <n v="33"/>
    <n v="3"/>
    <s v="10,79"/>
    <s v="12,03"/>
    <n v="1"/>
  </r>
  <r>
    <n v="34341"/>
    <s v="Villeveyrac"/>
    <x v="4"/>
    <n v="43"/>
    <n v="351"/>
    <x v="2"/>
    <s v="2,72%"/>
    <n v="13"/>
    <n v="3"/>
    <n v="2.6666666669999999"/>
    <n v="4"/>
    <s v="pas d'attrib."/>
    <x v="8"/>
    <n v="8"/>
    <n v="20"/>
    <n v="7"/>
    <n v="1"/>
    <n v="4"/>
    <n v="8"/>
    <n v="0"/>
    <n v="0"/>
    <n v="0"/>
    <n v="40"/>
    <n v="0.01"/>
    <n v="42"/>
    <n v="1"/>
    <n v="41"/>
    <n v="9"/>
    <n v="0"/>
    <n v="4"/>
    <n v="0"/>
    <n v="0"/>
    <n v="0"/>
    <n v="0"/>
    <n v="0"/>
    <n v="0"/>
    <n v="0"/>
    <n v="0"/>
    <n v="0"/>
    <n v="7"/>
    <n v="0"/>
    <n v="3"/>
    <s v="42,00"/>
    <s v="4,56"/>
    <n v="1"/>
  </r>
  <r>
    <n v="34001"/>
    <s v="Abeilhan"/>
    <x v="7"/>
    <m/>
    <m/>
    <x v="3"/>
    <m/>
    <n v="25"/>
    <n v="3"/>
    <s v="pas d'attrib."/>
    <n v="1.6666666670000001"/>
    <n v="1.3333333329999999"/>
    <x v="8"/>
    <n v="3"/>
    <n v="5"/>
    <n v="4"/>
    <n v="1"/>
    <n v="2"/>
    <n v="9"/>
    <n v="6"/>
    <n v="7"/>
    <n v="0"/>
    <n v="20"/>
    <n v="0.03"/>
    <n v="22"/>
    <n v="5"/>
    <n v="18"/>
    <n v="7"/>
    <n v="0"/>
    <n v="0"/>
    <n v="0"/>
    <n v="0"/>
    <n v="0"/>
    <n v="0"/>
    <n v="0"/>
    <n v="0"/>
    <n v="0"/>
    <n v="0"/>
    <n v="0"/>
    <n v="0"/>
    <n v="0"/>
    <n v="3"/>
    <s v="4,40"/>
    <s v="2,57"/>
    <n v="3"/>
  </r>
  <r>
    <n v="34002"/>
    <s v="Adissan"/>
    <x v="2"/>
    <m/>
    <m/>
    <x v="3"/>
    <m/>
    <n v="29"/>
    <s v="pas d'attrib."/>
    <s v="pas d'attrib."/>
    <s v="pas d'attrib."/>
    <n v="3"/>
    <x v="31"/>
    <n v="8"/>
    <n v="9"/>
    <n v="6"/>
    <n v="0"/>
    <n v="5"/>
    <n v="13"/>
    <n v="10"/>
    <n v="1"/>
    <n v="0"/>
    <n v="7.1429"/>
    <n v="0.06"/>
    <n v="28"/>
    <n v="11"/>
    <n v="24"/>
    <n v="2"/>
    <n v="0"/>
    <n v="1"/>
    <n v="0"/>
    <n v="0"/>
    <n v="0"/>
    <n v="0"/>
    <n v="0"/>
    <n v="0"/>
    <n v="0"/>
    <n v="0"/>
    <n v="0"/>
    <n v="3"/>
    <n v="0"/>
    <n v="3"/>
    <s v="2,55"/>
    <s v="12,00"/>
    <n v="3"/>
  </r>
  <r>
    <n v="34004"/>
    <s v="Agel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05"/>
    <s v="Agonès"/>
    <x v="9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06"/>
    <s v="Aigne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07"/>
    <s v="Aigues-Vives"/>
    <x v="8"/>
    <m/>
    <m/>
    <x v="3"/>
    <m/>
    <n v="0"/>
    <s v="pas d'attrib."/>
    <s v="pas d'attrib."/>
    <s v="pas d'attrib."/>
    <s v="pas d'attrib."/>
    <x v="33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08"/>
    <s v="Les Aires"/>
    <x v="10"/>
    <m/>
    <m/>
    <x v="3"/>
    <m/>
    <n v="10"/>
    <s v="pas d'attrib."/>
    <s v="pas d'attrib."/>
    <n v="1"/>
    <s v="pas d'attrib."/>
    <x v="33"/>
    <n v="2"/>
    <n v="1"/>
    <n v="2"/>
    <n v="0"/>
    <n v="3"/>
    <n v="5"/>
    <n v="2"/>
    <n v="0"/>
    <n v="0"/>
    <n v="10"/>
    <n v="0.04"/>
    <n v="3"/>
    <n v="0"/>
    <n v="5"/>
    <n v="1"/>
    <n v="0"/>
    <n v="0"/>
    <n v="0"/>
    <n v="0"/>
    <n v="0"/>
    <n v="0"/>
    <n v="0"/>
    <n v="0"/>
    <n v="0"/>
    <n v="0"/>
    <n v="0"/>
    <n v="0"/>
    <n v="0"/>
    <n v="3"/>
    <s v="pas d'attribution"/>
    <s v="5,00"/>
    <n v="3"/>
  </r>
  <r>
    <n v="34009"/>
    <s v="Alignan-du-Vent"/>
    <x v="1"/>
    <m/>
    <m/>
    <x v="3"/>
    <m/>
    <n v="13"/>
    <s v="pas d'attrib."/>
    <s v="pas d'attrib."/>
    <n v="9"/>
    <s v="pas d'attrib."/>
    <x v="33"/>
    <n v="0"/>
    <n v="9"/>
    <n v="3"/>
    <n v="0"/>
    <n v="0"/>
    <n v="6"/>
    <n v="6"/>
    <n v="1"/>
    <n v="0"/>
    <n v="7.6923000000000004"/>
    <n v="0.02"/>
    <n v="10"/>
    <n v="1"/>
    <n v="12"/>
    <n v="1"/>
    <n v="0"/>
    <n v="0"/>
    <n v="0"/>
    <n v="0"/>
    <n v="0"/>
    <n v="0"/>
    <n v="0"/>
    <n v="0"/>
    <n v="0"/>
    <n v="0"/>
    <n v="0"/>
    <n v="0"/>
    <n v="0"/>
    <n v="3"/>
    <s v="10,00"/>
    <s v="12,00"/>
    <n v="3"/>
  </r>
  <r>
    <n v="34010"/>
    <s v="Aniane"/>
    <x v="11"/>
    <m/>
    <m/>
    <x v="3"/>
    <m/>
    <n v="60"/>
    <s v="pas d'attrib."/>
    <s v="pas d'attrib."/>
    <n v="19"/>
    <n v="4"/>
    <x v="27"/>
    <n v="18"/>
    <n v="19"/>
    <n v="4"/>
    <n v="0"/>
    <n v="5"/>
    <n v="25"/>
    <n v="26"/>
    <n v="4"/>
    <n v="0"/>
    <n v="3.3898000000000001"/>
    <n v="0.05"/>
    <n v="37"/>
    <n v="3"/>
    <n v="49"/>
    <n v="2"/>
    <n v="0"/>
    <n v="2"/>
    <n v="0"/>
    <n v="0"/>
    <n v="0"/>
    <n v="0"/>
    <n v="0"/>
    <n v="0"/>
    <n v="0"/>
    <n v="0"/>
    <n v="0"/>
    <n v="2"/>
    <n v="0"/>
    <n v="3"/>
    <s v="12,33"/>
    <s v="24,50"/>
    <n v="2"/>
  </r>
  <r>
    <n v="34011"/>
    <s v="Arboras"/>
    <x v="11"/>
    <m/>
    <m/>
    <x v="3"/>
    <m/>
    <n v="0"/>
    <s v="pas d'attrib."/>
    <s v="pas d'attrib."/>
    <s v="pas d'attrib."/>
    <s v="pas d'attrib."/>
    <x v="33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12"/>
    <s v="Argelliers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013"/>
    <s v="Aspiran"/>
    <x v="12"/>
    <m/>
    <m/>
    <x v="3"/>
    <m/>
    <n v="15"/>
    <s v="pas d'attrib."/>
    <s v="pas d'attrib."/>
    <s v="pas d'attrib."/>
    <s v="pas d'attrib."/>
    <x v="31"/>
    <n v="1"/>
    <n v="2"/>
    <n v="2"/>
    <n v="0"/>
    <n v="6"/>
    <n v="2"/>
    <n v="7"/>
    <n v="0"/>
    <n v="0"/>
    <n v="0"/>
    <n v="0.02"/>
    <n v="5"/>
    <n v="0"/>
    <n v="7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14"/>
    <s v="Assas"/>
    <x v="6"/>
    <m/>
    <m/>
    <x v="3"/>
    <m/>
    <n v="0"/>
    <s v="pas d'attrib."/>
    <s v="pas d'attrib."/>
    <s v="pas d'attrib."/>
    <s v="pas d'attrib."/>
    <x v="31"/>
    <n v="6"/>
    <n v="2"/>
    <n v="0"/>
    <n v="0"/>
    <n v="0"/>
    <n v="0"/>
    <n v="0"/>
    <n v="0"/>
    <n v="0"/>
    <n v="0"/>
    <n v="0"/>
    <n v="2"/>
    <n v="0"/>
    <n v="1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1"/>
  </r>
  <r>
    <n v="34015"/>
    <s v="Assignan"/>
    <x v="13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16"/>
    <s v="Aumelas"/>
    <x v="11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17"/>
    <s v="Aumes"/>
    <x v="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18"/>
    <s v="Autignac"/>
    <x v="7"/>
    <m/>
    <m/>
    <x v="3"/>
    <m/>
    <n v="0"/>
    <s v="pas d'attrib."/>
    <s v="pas d'attrib."/>
    <s v="pas d'attrib."/>
    <s v="pas d'attrib."/>
    <x v="33"/>
    <n v="2"/>
    <n v="0"/>
    <n v="1"/>
    <n v="0"/>
    <n v="0"/>
    <n v="0"/>
    <n v="0"/>
    <n v="0"/>
    <n v="0"/>
    <n v="0"/>
    <n v="0"/>
    <n v="12"/>
    <n v="0"/>
    <n v="18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19"/>
    <s v="Avène"/>
    <x v="10"/>
    <m/>
    <m/>
    <x v="3"/>
    <m/>
    <n v="7"/>
    <s v="pas d'attrib."/>
    <s v="pas d'attrib."/>
    <s v="pas d'attrib."/>
    <s v="pas d'attrib."/>
    <x v="33"/>
    <n v="1"/>
    <n v="1"/>
    <n v="0"/>
    <n v="0"/>
    <n v="2"/>
    <n v="2"/>
    <n v="3"/>
    <n v="0"/>
    <n v="0"/>
    <n v="0"/>
    <n v="0.04"/>
    <n v="0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20"/>
    <s v="Azillanet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21"/>
    <s v="Babeau-Bouldoux"/>
    <x v="13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24"/>
    <s v="Balaruc-le-Vieux"/>
    <x v="4"/>
    <m/>
    <m/>
    <x v="3"/>
    <m/>
    <n v="76"/>
    <s v="pas d'attrib."/>
    <n v="22"/>
    <n v="4.75"/>
    <s v="pas d'attrib."/>
    <x v="4"/>
    <n v="22"/>
    <n v="19"/>
    <n v="13"/>
    <n v="0"/>
    <n v="28"/>
    <n v="36"/>
    <n v="12"/>
    <n v="0"/>
    <n v="0"/>
    <n v="6.8493000000000004"/>
    <n v="7.0000000000000007E-2"/>
    <n v="76"/>
    <n v="3"/>
    <n v="66"/>
    <n v="5"/>
    <n v="0"/>
    <n v="3"/>
    <n v="0"/>
    <n v="0"/>
    <n v="0"/>
    <n v="0"/>
    <n v="0"/>
    <n v="0"/>
    <n v="0"/>
    <n v="0"/>
    <n v="0"/>
    <n v="6"/>
    <n v="0"/>
    <n v="3"/>
    <s v="25,33"/>
    <s v="13,20"/>
    <n v="1"/>
  </r>
  <r>
    <n v="34025"/>
    <s v="Bassan"/>
    <x v="1"/>
    <m/>
    <m/>
    <x v="3"/>
    <m/>
    <n v="19"/>
    <s v="pas d'attrib."/>
    <s v="pas d'attrib."/>
    <s v="pas d'attrib."/>
    <n v="6"/>
    <x v="31"/>
    <n v="2"/>
    <n v="6"/>
    <n v="6"/>
    <n v="0"/>
    <n v="3"/>
    <n v="14"/>
    <n v="2"/>
    <n v="0"/>
    <n v="5.2632000000000003"/>
    <n v="5.2632000000000003"/>
    <n v="0.02"/>
    <n v="9"/>
    <n v="1"/>
    <n v="17"/>
    <n v="1"/>
    <n v="0"/>
    <n v="4"/>
    <n v="0"/>
    <n v="0"/>
    <n v="0"/>
    <n v="0"/>
    <n v="0"/>
    <n v="0"/>
    <n v="0"/>
    <n v="0"/>
    <n v="0"/>
    <n v="10"/>
    <n v="6"/>
    <n v="3"/>
    <s v="9,00"/>
    <s v="17,00"/>
    <n v="2"/>
  </r>
  <r>
    <n v="34026"/>
    <s v="Beaufort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27"/>
    <s v="Beaulieu"/>
    <x v="3"/>
    <m/>
    <m/>
    <x v="3"/>
    <m/>
    <n v="60"/>
    <s v="pas d'attrib."/>
    <n v="11"/>
    <n v="2.2000000000000002"/>
    <n v="5"/>
    <x v="8"/>
    <n v="11"/>
    <n v="11"/>
    <n v="5"/>
    <n v="0"/>
    <n v="27"/>
    <n v="30"/>
    <n v="3"/>
    <n v="0"/>
    <n v="0"/>
    <n v="12.069000000000001"/>
    <n v="7.0000000000000007E-2"/>
    <n v="19"/>
    <n v="6"/>
    <n v="37"/>
    <n v="7"/>
    <n v="0"/>
    <n v="0"/>
    <n v="0"/>
    <n v="0"/>
    <n v="0"/>
    <n v="0"/>
    <n v="0"/>
    <n v="0"/>
    <n v="0"/>
    <n v="0"/>
    <n v="0"/>
    <n v="0"/>
    <n v="0"/>
    <n v="3"/>
    <s v="3,17"/>
    <s v="5,29"/>
    <n v="2"/>
  </r>
  <r>
    <n v="34028"/>
    <s v="Bédarieux"/>
    <x v="10"/>
    <m/>
    <m/>
    <x v="3"/>
    <m/>
    <n v="159"/>
    <s v="pas d'attrib."/>
    <n v="13.33333333"/>
    <n v="8.5"/>
    <n v="1.1428571430000001"/>
    <x v="6"/>
    <n v="40"/>
    <n v="17"/>
    <n v="8"/>
    <n v="10"/>
    <n v="20"/>
    <n v="58"/>
    <n v="67"/>
    <n v="4"/>
    <n v="0.63690000000000002"/>
    <n v="9.5541"/>
    <n v="0.05"/>
    <n v="74"/>
    <n v="14"/>
    <n v="78"/>
    <n v="12"/>
    <n v="0"/>
    <n v="0"/>
    <n v="0"/>
    <n v="0"/>
    <n v="0"/>
    <n v="0"/>
    <n v="0"/>
    <n v="0"/>
    <n v="0"/>
    <n v="0"/>
    <n v="0"/>
    <n v="0"/>
    <n v="0"/>
    <n v="3"/>
    <s v="5,29"/>
    <s v="6,50"/>
    <n v="3"/>
  </r>
  <r>
    <n v="34029"/>
    <s v="Bélarga"/>
    <x v="11"/>
    <m/>
    <m/>
    <x v="3"/>
    <m/>
    <n v="10"/>
    <s v="pas d'attrib."/>
    <s v="pas d'attrib."/>
    <s v="pas d'attrib."/>
    <s v="pas d'attrib."/>
    <x v="33"/>
    <n v="1"/>
    <n v="3"/>
    <n v="0"/>
    <n v="0"/>
    <n v="2"/>
    <n v="3"/>
    <n v="5"/>
    <n v="0"/>
    <n v="0"/>
    <n v="0"/>
    <n v="0.04"/>
    <n v="6"/>
    <n v="0"/>
    <n v="4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30"/>
    <s v="Berlou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33"/>
    <s v="Boisseron"/>
    <x v="0"/>
    <m/>
    <m/>
    <x v="3"/>
    <m/>
    <n v="2"/>
    <s v="pas d'attrib."/>
    <s v="pas d'attrib."/>
    <s v="pas d'attrib."/>
    <s v="pas d'attrib."/>
    <x v="33"/>
    <n v="3"/>
    <n v="2"/>
    <n v="1"/>
    <n v="0"/>
    <n v="1"/>
    <n v="0"/>
    <n v="1"/>
    <n v="0"/>
    <n v="0"/>
    <n v="0"/>
    <n v="0"/>
    <n v="5"/>
    <n v="1"/>
    <n v="6"/>
    <n v="0"/>
    <n v="0"/>
    <n v="0"/>
    <n v="0"/>
    <n v="0"/>
    <n v="0"/>
    <n v="0"/>
    <n v="0"/>
    <n v="0"/>
    <n v="0"/>
    <n v="0"/>
    <n v="0"/>
    <n v="0"/>
    <n v="0"/>
    <n v="3"/>
    <s v="5,00"/>
    <s v="pas d'attribution"/>
    <n v="3"/>
  </r>
  <r>
    <n v="34034"/>
    <s v="Boisset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35"/>
    <s v="La Boissière"/>
    <x v="11"/>
    <m/>
    <m/>
    <x v="3"/>
    <m/>
    <n v="0"/>
    <s v="pas d'attrib."/>
    <s v="pas d'attrib."/>
    <s v="pas d'attrib."/>
    <s v="pas d'attrib."/>
    <x v="3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036"/>
    <s v="Le Bosc"/>
    <x v="14"/>
    <m/>
    <m/>
    <x v="3"/>
    <m/>
    <n v="0"/>
    <s v="pas d'attrib."/>
    <s v="pas d'attrib."/>
    <s v="pas d'attrib."/>
    <s v="pas d'attrib."/>
    <x v="33"/>
    <n v="1"/>
    <n v="0"/>
    <n v="1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37"/>
    <s v="Boujan-sur-Libron"/>
    <x v="1"/>
    <m/>
    <m/>
    <x v="3"/>
    <m/>
    <n v="110"/>
    <s v="pas d'attrib."/>
    <s v="pas d'attrib."/>
    <n v="11.25"/>
    <n v="8"/>
    <x v="27"/>
    <n v="20"/>
    <n v="45"/>
    <n v="24"/>
    <n v="0"/>
    <n v="8"/>
    <n v="56"/>
    <n v="42"/>
    <n v="4"/>
    <n v="0"/>
    <n v="6.3635999999999999"/>
    <n v="7.0000000000000007E-2"/>
    <n v="123"/>
    <n v="28"/>
    <n v="104"/>
    <n v="7"/>
    <n v="0"/>
    <n v="11"/>
    <n v="0"/>
    <n v="0"/>
    <n v="0"/>
    <n v="0"/>
    <n v="0"/>
    <n v="0"/>
    <n v="0"/>
    <n v="3"/>
    <n v="0"/>
    <n v="14"/>
    <n v="0"/>
    <n v="3"/>
    <s v="4,39"/>
    <s v="14,86"/>
    <n v="1"/>
  </r>
  <r>
    <n v="34038"/>
    <s v="Le Bousquet-d'Orb"/>
    <x v="10"/>
    <m/>
    <m/>
    <x v="3"/>
    <m/>
    <n v="158"/>
    <n v="2"/>
    <s v="pas d'attrib."/>
    <n v="1.3333333329999999"/>
    <n v="1.8"/>
    <x v="34"/>
    <n v="7"/>
    <n v="12"/>
    <n v="9"/>
    <n v="2"/>
    <n v="10"/>
    <n v="69"/>
    <n v="71"/>
    <n v="6"/>
    <n v="5.5556000000000001"/>
    <n v="11.8056"/>
    <n v="0.2"/>
    <n v="21"/>
    <n v="24"/>
    <n v="30"/>
    <n v="15"/>
    <n v="0"/>
    <n v="0"/>
    <n v="0"/>
    <n v="0"/>
    <n v="0"/>
    <n v="0"/>
    <n v="0"/>
    <n v="0"/>
    <n v="0"/>
    <n v="0"/>
    <n v="0"/>
    <n v="0"/>
    <n v="0"/>
    <n v="3"/>
    <s v="0,88"/>
    <s v="2,00"/>
    <n v="4"/>
  </r>
  <r>
    <n v="34039"/>
    <s v="Bouzigues"/>
    <x v="4"/>
    <m/>
    <m/>
    <x v="3"/>
    <m/>
    <n v="0"/>
    <s v="pas d'attrib."/>
    <s v="pas d'attrib."/>
    <s v="pas d'attrib."/>
    <s v="pas d'attrib."/>
    <x v="31"/>
    <n v="2"/>
    <n v="3"/>
    <n v="0"/>
    <n v="0"/>
    <n v="0"/>
    <n v="0"/>
    <n v="0"/>
    <n v="0"/>
    <n v="0"/>
    <n v="0"/>
    <n v="0"/>
    <n v="4"/>
    <n v="0"/>
    <n v="6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1"/>
  </r>
  <r>
    <n v="34040"/>
    <s v="Brenas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41"/>
    <s v="Brignac"/>
    <x v="12"/>
    <m/>
    <m/>
    <x v="3"/>
    <m/>
    <n v="6"/>
    <s v="pas d'attrib."/>
    <s v="pas d'attrib."/>
    <n v="1"/>
    <n v="0"/>
    <x v="33"/>
    <n v="0"/>
    <n v="2"/>
    <n v="0"/>
    <n v="0"/>
    <n v="0"/>
    <n v="4"/>
    <n v="2"/>
    <n v="0"/>
    <n v="0"/>
    <n v="50"/>
    <n v="0.02"/>
    <n v="5"/>
    <n v="1"/>
    <n v="3"/>
    <n v="3"/>
    <n v="0"/>
    <n v="0"/>
    <n v="0"/>
    <n v="0"/>
    <n v="0"/>
    <n v="0"/>
    <n v="0"/>
    <n v="0"/>
    <n v="0"/>
    <n v="0"/>
    <n v="0"/>
    <n v="0"/>
    <n v="0"/>
    <n v="3"/>
    <s v="5,00"/>
    <s v="1,00"/>
    <n v="2"/>
  </r>
  <r>
    <n v="34042"/>
    <s v="Brissac"/>
    <x v="9"/>
    <m/>
    <m/>
    <x v="3"/>
    <m/>
    <n v="0"/>
    <s v="pas d'attrib."/>
    <s v="pas d'attrib."/>
    <s v="pas d'attrib."/>
    <s v="pas d'attrib."/>
    <x v="31"/>
    <n v="0"/>
    <n v="1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43"/>
    <s v="Buzignargues"/>
    <x v="6"/>
    <m/>
    <m/>
    <x v="3"/>
    <m/>
    <n v="5"/>
    <s v="pas d'attrib."/>
    <s v="pas d'attrib."/>
    <s v="pas d'attrib."/>
    <s v="pas d'attrib."/>
    <x v="33"/>
    <n v="1"/>
    <n v="0"/>
    <n v="0"/>
    <n v="0"/>
    <n v="3"/>
    <n v="1"/>
    <n v="1"/>
    <n v="0"/>
    <n v="0"/>
    <n v="0"/>
    <n v="0.03"/>
    <n v="5"/>
    <n v="2"/>
    <n v="1"/>
    <n v="0"/>
    <n v="0"/>
    <n v="0"/>
    <n v="0"/>
    <n v="0"/>
    <n v="0"/>
    <n v="0"/>
    <n v="0"/>
    <n v="0"/>
    <n v="0"/>
    <n v="0"/>
    <n v="0"/>
    <n v="0"/>
    <n v="0"/>
    <n v="3"/>
    <s v="2,50"/>
    <s v="pas d'attribution"/>
    <n v="3"/>
  </r>
  <r>
    <n v="34044"/>
    <s v="Cabrerolles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45"/>
    <s v="Cabrières"/>
    <x v="12"/>
    <m/>
    <m/>
    <x v="3"/>
    <m/>
    <n v="13"/>
    <s v="pas d'attrib."/>
    <s v="pas d'attrib."/>
    <s v="pas d'attrib."/>
    <s v="pas d'attrib."/>
    <x v="32"/>
    <m/>
    <m/>
    <m/>
    <n v="0"/>
    <n v="3"/>
    <n v="3"/>
    <n v="7"/>
    <n v="0"/>
    <n v="0"/>
    <n v="0"/>
    <n v="0.05"/>
    <n v="2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46"/>
    <s v="Cambon-et-Salvergues"/>
    <x v="15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47"/>
    <s v="Campagnan"/>
    <x v="11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48"/>
    <s v="Campagne"/>
    <x v="0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49"/>
    <s v="Camplong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50"/>
    <s v="Candillargues"/>
    <x v="16"/>
    <m/>
    <m/>
    <x v="3"/>
    <m/>
    <n v="48"/>
    <n v="7"/>
    <n v="0.81818181800000001"/>
    <n v="1.7272727269999999"/>
    <n v="2.6666666669999999"/>
    <x v="0"/>
    <n v="9"/>
    <n v="19"/>
    <n v="8"/>
    <n v="1"/>
    <n v="24"/>
    <n v="16"/>
    <n v="7"/>
    <n v="0"/>
    <n v="0"/>
    <n v="8.6957000000000004"/>
    <n v="7.0000000000000007E-2"/>
    <n v="51"/>
    <n v="2"/>
    <n v="44"/>
    <n v="26"/>
    <n v="0"/>
    <n v="0"/>
    <n v="0"/>
    <n v="0"/>
    <n v="0"/>
    <n v="0"/>
    <n v="0"/>
    <n v="0"/>
    <n v="0"/>
    <n v="1"/>
    <n v="0"/>
    <n v="0"/>
    <n v="0"/>
    <n v="3"/>
    <s v="25,50"/>
    <s v="1,69"/>
    <n v="1"/>
  </r>
  <r>
    <n v="34051"/>
    <s v="Canet"/>
    <x v="12"/>
    <m/>
    <m/>
    <x v="3"/>
    <m/>
    <n v="25"/>
    <s v="pas d'attrib."/>
    <s v="pas d'attrib."/>
    <n v="7.6666666670000003"/>
    <n v="13"/>
    <x v="34"/>
    <n v="11"/>
    <n v="23"/>
    <n v="13"/>
    <n v="0"/>
    <n v="0"/>
    <n v="13"/>
    <n v="12"/>
    <n v="0"/>
    <n v="0"/>
    <n v="16"/>
    <n v="0.02"/>
    <n v="39"/>
    <n v="1"/>
    <n v="57"/>
    <n v="4"/>
    <n v="0"/>
    <n v="8"/>
    <n v="0"/>
    <n v="0"/>
    <n v="0"/>
    <n v="0"/>
    <n v="0"/>
    <n v="0"/>
    <n v="0"/>
    <n v="0"/>
    <n v="0"/>
    <n v="16"/>
    <n v="8"/>
    <n v="3"/>
    <s v="39,00"/>
    <s v="14,25"/>
    <n v="2"/>
  </r>
  <r>
    <n v="34052"/>
    <s v="Capestang"/>
    <x v="13"/>
    <m/>
    <m/>
    <x v="3"/>
    <m/>
    <n v="26"/>
    <s v="pas d'attrib."/>
    <s v="pas d'attrib."/>
    <n v="11"/>
    <s v="pas d'attrib."/>
    <x v="34"/>
    <n v="9"/>
    <n v="11"/>
    <n v="4"/>
    <n v="0"/>
    <n v="3"/>
    <n v="12"/>
    <n v="9"/>
    <n v="2"/>
    <n v="0"/>
    <n v="8"/>
    <n v="0.02"/>
    <n v="34"/>
    <n v="4"/>
    <n v="26"/>
    <n v="1"/>
    <n v="0"/>
    <n v="19"/>
    <n v="0"/>
    <n v="0"/>
    <n v="0"/>
    <n v="0"/>
    <n v="0"/>
    <n v="0"/>
    <n v="0"/>
    <n v="9"/>
    <n v="0"/>
    <n v="30"/>
    <n v="0"/>
    <n v="3"/>
    <s v="8,50"/>
    <s v="26,00"/>
    <n v="3"/>
  </r>
  <r>
    <n v="34053"/>
    <s v="Carlencas-et-Levas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54"/>
    <s v="Cassagnole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55"/>
    <s v="Castanet-le-Haut"/>
    <x v="15"/>
    <m/>
    <m/>
    <x v="3"/>
    <m/>
    <n v="6"/>
    <s v="pas d'attrib."/>
    <s v="pas d'attrib."/>
    <s v="pas d'attrib."/>
    <s v="pas d'attrib."/>
    <x v="33"/>
    <n v="0"/>
    <n v="1"/>
    <n v="0"/>
    <n v="0"/>
    <n v="0"/>
    <n v="2"/>
    <n v="4"/>
    <n v="0"/>
    <n v="0"/>
    <n v="0"/>
    <n v="0.06"/>
    <n v="1"/>
    <n v="2"/>
    <n v="1"/>
    <n v="0"/>
    <n v="0"/>
    <n v="0"/>
    <n v="0"/>
    <n v="0"/>
    <n v="0"/>
    <n v="0"/>
    <n v="0"/>
    <n v="0"/>
    <n v="0"/>
    <n v="0"/>
    <n v="0"/>
    <n v="0"/>
    <n v="0"/>
    <n v="3"/>
    <s v="0,50"/>
    <s v="pas d'attribution"/>
    <n v="4"/>
  </r>
  <r>
    <n v="34056"/>
    <s v="Castelnau-de-Guers"/>
    <x v="2"/>
    <m/>
    <m/>
    <x v="3"/>
    <m/>
    <n v="16"/>
    <s v="pas d'attrib."/>
    <s v="pas d'attrib."/>
    <n v="1"/>
    <n v="0"/>
    <x v="33"/>
    <n v="2"/>
    <n v="1"/>
    <n v="0"/>
    <n v="0"/>
    <n v="1"/>
    <n v="6"/>
    <n v="8"/>
    <n v="1"/>
    <n v="6.25"/>
    <n v="12.5"/>
    <n v="0.03"/>
    <n v="5"/>
    <n v="2"/>
    <n v="5"/>
    <n v="2"/>
    <n v="0"/>
    <n v="0"/>
    <n v="0"/>
    <n v="0"/>
    <n v="0"/>
    <n v="0"/>
    <n v="0"/>
    <n v="0"/>
    <n v="0"/>
    <n v="0"/>
    <n v="0"/>
    <n v="0"/>
    <n v="0"/>
    <n v="3"/>
    <s v="2,50"/>
    <s v="2,50"/>
    <n v="3"/>
  </r>
  <r>
    <n v="34059"/>
    <s v="La Caunette"/>
    <x v="8"/>
    <m/>
    <m/>
    <x v="3"/>
    <m/>
    <n v="2"/>
    <s v="pas d'attrib."/>
    <s v="pas d'attrib."/>
    <s v="pas d'attrib."/>
    <s v="pas d'attrib."/>
    <x v="33"/>
    <n v="0"/>
    <n v="0"/>
    <n v="1"/>
    <n v="0"/>
    <n v="0"/>
    <n v="0"/>
    <n v="2"/>
    <n v="0"/>
    <n v="0"/>
    <n v="50"/>
    <n v="0.01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60"/>
    <s v="Causse-de-la-Selle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61"/>
    <s v="Causses-et-Veyran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62"/>
    <s v="Caussiniojouls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63"/>
    <s v="Caux"/>
    <x v="2"/>
    <m/>
    <m/>
    <x v="3"/>
    <m/>
    <n v="5"/>
    <s v="pas d'attrib."/>
    <s v="pas d'attrib."/>
    <s v="pas d'attrib."/>
    <s v="pas d'attrib."/>
    <x v="31"/>
    <n v="1"/>
    <n v="1"/>
    <n v="1"/>
    <n v="0"/>
    <n v="1"/>
    <n v="2"/>
    <n v="2"/>
    <n v="0"/>
    <n v="0"/>
    <n v="0"/>
    <n v="0"/>
    <n v="5"/>
    <n v="0"/>
    <n v="4"/>
    <n v="0"/>
    <n v="0"/>
    <n v="3"/>
    <n v="0"/>
    <n v="0"/>
    <n v="0"/>
    <n v="0"/>
    <n v="0"/>
    <n v="0"/>
    <n v="0"/>
    <n v="0"/>
    <n v="0"/>
    <n v="5"/>
    <n v="0"/>
    <n v="3"/>
    <s v="pas d'attribution"/>
    <s v="pas d'attribution"/>
    <n v="2"/>
  </r>
  <r>
    <n v="34064"/>
    <s v="Le Caylar"/>
    <x v="14"/>
    <m/>
    <m/>
    <x v="3"/>
    <m/>
    <n v="39"/>
    <s v="pas d'attrib."/>
    <n v="2"/>
    <n v="3"/>
    <s v="pas d'attrib."/>
    <x v="33"/>
    <n v="2"/>
    <n v="3"/>
    <n v="1"/>
    <n v="0"/>
    <n v="4"/>
    <n v="8"/>
    <n v="16"/>
    <n v="11"/>
    <n v="0"/>
    <n v="5.4054000000000002"/>
    <n v="0.18"/>
    <n v="6"/>
    <n v="4"/>
    <n v="6"/>
    <n v="2"/>
    <n v="0"/>
    <n v="0"/>
    <n v="0"/>
    <n v="0"/>
    <n v="0"/>
    <n v="0"/>
    <n v="0"/>
    <n v="0"/>
    <n v="0"/>
    <n v="0"/>
    <n v="0"/>
    <n v="0"/>
    <n v="0"/>
    <n v="3"/>
    <s v="1,50"/>
    <s v="3,00"/>
    <n v="4"/>
  </r>
  <r>
    <n v="34065"/>
    <s v="Cazedarnes"/>
    <x v="13"/>
    <m/>
    <m/>
    <x v="3"/>
    <m/>
    <n v="8"/>
    <s v="pas d'attrib."/>
    <s v="pas d'attrib."/>
    <n v="1"/>
    <s v="pas d'attrib."/>
    <x v="33"/>
    <n v="0"/>
    <n v="1"/>
    <n v="0"/>
    <n v="0"/>
    <n v="0"/>
    <n v="4"/>
    <n v="4"/>
    <n v="0"/>
    <n v="0"/>
    <n v="14.2857"/>
    <n v="0.03"/>
    <n v="3"/>
    <n v="1"/>
    <n v="2"/>
    <n v="1"/>
    <n v="0"/>
    <n v="0"/>
    <n v="0"/>
    <n v="0"/>
    <n v="0"/>
    <n v="0"/>
    <n v="0"/>
    <n v="0"/>
    <n v="0"/>
    <n v="0"/>
    <n v="0"/>
    <n v="0"/>
    <n v="0"/>
    <n v="3"/>
    <s v="3,00"/>
    <s v="2,00"/>
    <n v="4"/>
  </r>
  <r>
    <n v="34066"/>
    <s v="Cazevieille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067"/>
    <s v="Cazilhac"/>
    <x v="9"/>
    <m/>
    <m/>
    <x v="3"/>
    <m/>
    <n v="0"/>
    <s v="pas d'attrib."/>
    <s v="pas d'attrib."/>
    <s v="pas d'attrib."/>
    <s v="pas d'attrib."/>
    <x v="33"/>
    <n v="0"/>
    <n v="1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068"/>
    <s v="Cazouls-d'Hérault"/>
    <x v="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69"/>
    <s v="Cazouls-lès-Béziers"/>
    <x v="5"/>
    <m/>
    <m/>
    <x v="3"/>
    <m/>
    <n v="47"/>
    <s v="pas d'attrib."/>
    <s v="pas d'attrib."/>
    <s v="pas d'attrib."/>
    <n v="9"/>
    <x v="31"/>
    <n v="12"/>
    <n v="16"/>
    <n v="9"/>
    <n v="0"/>
    <n v="0"/>
    <n v="17"/>
    <n v="25"/>
    <n v="5"/>
    <n v="0"/>
    <n v="2.1739000000000002"/>
    <n v="0.02"/>
    <n v="50"/>
    <n v="4"/>
    <n v="46"/>
    <n v="1"/>
    <n v="0"/>
    <n v="21"/>
    <n v="0"/>
    <n v="0"/>
    <n v="0"/>
    <n v="0"/>
    <n v="0"/>
    <n v="0"/>
    <n v="0"/>
    <n v="0"/>
    <n v="0"/>
    <n v="34"/>
    <n v="0"/>
    <n v="3"/>
    <s v="12,50"/>
    <s v="46,00"/>
    <n v="1"/>
  </r>
  <r>
    <n v="34070"/>
    <s v="Cébazan"/>
    <x v="13"/>
    <m/>
    <m/>
    <x v="3"/>
    <m/>
    <n v="5"/>
    <s v="pas d'attrib."/>
    <s v="pas d'attrib."/>
    <n v="2"/>
    <n v="0"/>
    <x v="33"/>
    <n v="1"/>
    <n v="2"/>
    <n v="0"/>
    <n v="0"/>
    <n v="0"/>
    <n v="2"/>
    <n v="3"/>
    <n v="0"/>
    <n v="0"/>
    <n v="75"/>
    <n v="0.02"/>
    <n v="0"/>
    <n v="2"/>
    <n v="4"/>
    <n v="2"/>
    <n v="0"/>
    <n v="0"/>
    <n v="0"/>
    <n v="0"/>
    <n v="0"/>
    <n v="0"/>
    <n v="0"/>
    <n v="0"/>
    <n v="0"/>
    <n v="0"/>
    <n v="0"/>
    <n v="0"/>
    <n v="0"/>
    <n v="3"/>
    <s v="0,00"/>
    <s v="2,00"/>
    <n v="4"/>
  </r>
  <r>
    <n v="34071"/>
    <s v="Ceilhes-et-Rocozels"/>
    <x v="10"/>
    <m/>
    <m/>
    <x v="3"/>
    <m/>
    <n v="3"/>
    <s v="pas d'attrib."/>
    <s v="pas d'attrib."/>
    <s v="pas d'attrib."/>
    <s v="pas d'attrib."/>
    <x v="32"/>
    <m/>
    <m/>
    <m/>
    <n v="0"/>
    <n v="0"/>
    <n v="3"/>
    <n v="0"/>
    <n v="0"/>
    <n v="66.666700000000006"/>
    <n v="0"/>
    <n v="0.0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72"/>
    <s v="Celles"/>
    <x v="14"/>
    <m/>
    <m/>
    <x v="3"/>
    <m/>
    <n v="0"/>
    <s v="pas d'attrib."/>
    <s v="pas d'attrib."/>
    <s v="pas d'attrib."/>
    <s v="pas d'attrib."/>
    <x v="33"/>
    <n v="3"/>
    <n v="0"/>
    <n v="0"/>
    <n v="0"/>
    <n v="0"/>
    <n v="0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73"/>
    <s v="Cers"/>
    <x v="1"/>
    <m/>
    <m/>
    <x v="3"/>
    <m/>
    <n v="79"/>
    <s v="pas d'attrib."/>
    <s v="pas d'attrib."/>
    <n v="2.3333333330000001"/>
    <s v="pas d'attrib."/>
    <x v="8"/>
    <n v="7"/>
    <n v="14"/>
    <n v="20"/>
    <n v="0"/>
    <n v="4"/>
    <n v="37"/>
    <n v="36"/>
    <n v="2"/>
    <n v="1.2658"/>
    <n v="7.5949"/>
    <n v="7.0000000000000007E-2"/>
    <n v="39"/>
    <n v="3"/>
    <n v="50"/>
    <n v="6"/>
    <n v="0"/>
    <n v="0"/>
    <n v="0"/>
    <n v="0"/>
    <n v="0"/>
    <n v="0"/>
    <n v="0"/>
    <n v="0"/>
    <n v="0"/>
    <n v="0"/>
    <n v="0"/>
    <n v="0"/>
    <n v="0"/>
    <n v="3"/>
    <s v="13,00"/>
    <s v="8,33"/>
    <n v="1"/>
  </r>
  <r>
    <n v="34074"/>
    <s v="Cessenon-sur-Orb"/>
    <x v="13"/>
    <m/>
    <m/>
    <x v="3"/>
    <m/>
    <n v="42"/>
    <s v="pas d'attrib."/>
    <s v="pas d'attrib."/>
    <n v="8"/>
    <n v="5"/>
    <x v="34"/>
    <n v="4"/>
    <n v="8"/>
    <n v="10"/>
    <n v="0"/>
    <n v="2"/>
    <n v="14"/>
    <n v="19"/>
    <n v="7"/>
    <n v="0"/>
    <n v="9.7561"/>
    <n v="0.04"/>
    <n v="30"/>
    <n v="3"/>
    <n v="26"/>
    <n v="3"/>
    <n v="0"/>
    <n v="0"/>
    <n v="0"/>
    <n v="0"/>
    <n v="0"/>
    <n v="0"/>
    <n v="0"/>
    <n v="0"/>
    <n v="0"/>
    <n v="0"/>
    <n v="0"/>
    <n v="0"/>
    <n v="0"/>
    <n v="3"/>
    <s v="10,00"/>
    <s v="8,67"/>
    <n v="2"/>
  </r>
  <r>
    <n v="34075"/>
    <s v="Cessera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76"/>
    <s v="Ceyras"/>
    <x v="12"/>
    <m/>
    <m/>
    <x v="3"/>
    <m/>
    <n v="16"/>
    <s v="pas d'attrib."/>
    <s v="pas d'attrib."/>
    <s v="pas d'attrib."/>
    <s v="pas d'attrib."/>
    <x v="33"/>
    <n v="1"/>
    <n v="3"/>
    <n v="5"/>
    <n v="0"/>
    <n v="0"/>
    <n v="10"/>
    <n v="5"/>
    <n v="1"/>
    <n v="0"/>
    <n v="6.25"/>
    <n v="0.03"/>
    <n v="9"/>
    <n v="1"/>
    <n v="11"/>
    <n v="0"/>
    <n v="0"/>
    <n v="0"/>
    <n v="0"/>
    <n v="0"/>
    <n v="0"/>
    <n v="0"/>
    <n v="0"/>
    <n v="0"/>
    <n v="0"/>
    <n v="0"/>
    <n v="0"/>
    <n v="0"/>
    <n v="0"/>
    <n v="3"/>
    <s v="9,00"/>
    <s v="pas d'attribution"/>
    <n v="2"/>
  </r>
  <r>
    <n v="34078"/>
    <s v="Claret"/>
    <x v="6"/>
    <m/>
    <m/>
    <x v="3"/>
    <m/>
    <n v="17"/>
    <s v="pas d'attrib."/>
    <s v="pas d'attrib."/>
    <s v="pas d'attrib."/>
    <n v="2"/>
    <x v="33"/>
    <n v="3"/>
    <n v="2"/>
    <n v="2"/>
    <n v="0"/>
    <n v="1"/>
    <n v="7"/>
    <n v="7"/>
    <n v="2"/>
    <n v="5.8823999999999996"/>
    <n v="5.8823999999999996"/>
    <n v="0.03"/>
    <n v="9"/>
    <n v="2"/>
    <n v="8"/>
    <n v="1"/>
    <n v="0"/>
    <n v="0"/>
    <n v="0"/>
    <n v="0"/>
    <n v="0"/>
    <n v="0"/>
    <n v="0"/>
    <n v="0"/>
    <n v="0"/>
    <n v="0"/>
    <n v="0"/>
    <n v="0"/>
    <n v="0"/>
    <n v="3"/>
    <s v="4,50"/>
    <s v="8,00"/>
    <n v="3"/>
  </r>
  <r>
    <n v="34079"/>
    <s v="Clermont-l'Hérault"/>
    <x v="12"/>
    <m/>
    <m/>
    <x v="3"/>
    <m/>
    <n v="770"/>
    <n v="13"/>
    <n v="10.84615385"/>
    <n v="2.3125"/>
    <n v="2"/>
    <x v="35"/>
    <n v="141"/>
    <n v="111"/>
    <n v="76"/>
    <n v="21"/>
    <n v="98"/>
    <n v="287"/>
    <n v="301"/>
    <n v="63"/>
    <n v="1.3793"/>
    <n v="7.7496"/>
    <n v="0.19"/>
    <n v="385"/>
    <n v="66"/>
    <n v="389"/>
    <n v="102"/>
    <n v="12"/>
    <n v="25"/>
    <n v="0"/>
    <n v="0"/>
    <n v="0"/>
    <n v="0"/>
    <n v="0"/>
    <n v="0"/>
    <n v="0"/>
    <n v="0"/>
    <n v="0"/>
    <n v="50"/>
    <n v="0"/>
    <n v="3"/>
    <s v="5,83"/>
    <s v="3,81"/>
    <n v="2"/>
  </r>
  <r>
    <n v="34080"/>
    <s v="Colombières-sur-Orb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4"/>
    <n v="0"/>
    <n v="3"/>
    <s v="pas d'attribution"/>
    <s v="pas d'attribution"/>
    <n v="4"/>
  </r>
  <r>
    <n v="34081"/>
    <s v="Colombiers"/>
    <x v="5"/>
    <m/>
    <m/>
    <x v="3"/>
    <m/>
    <n v="102"/>
    <s v="pas d'attrib."/>
    <n v="9"/>
    <s v="pas d'attrib."/>
    <n v="7.5"/>
    <x v="27"/>
    <n v="27"/>
    <n v="30"/>
    <n v="15"/>
    <n v="0"/>
    <n v="30"/>
    <n v="43"/>
    <n v="29"/>
    <n v="0"/>
    <n v="0.98040000000000005"/>
    <n v="4.9020000000000001"/>
    <n v="0.09"/>
    <n v="76"/>
    <n v="7"/>
    <n v="89"/>
    <n v="5"/>
    <n v="0"/>
    <n v="4"/>
    <n v="0"/>
    <n v="0"/>
    <n v="0"/>
    <n v="0"/>
    <n v="0"/>
    <n v="0"/>
    <n v="0"/>
    <n v="0"/>
    <n v="0"/>
    <n v="8"/>
    <n v="0"/>
    <n v="3"/>
    <s v="10,86"/>
    <s v="17,80"/>
    <n v="1"/>
  </r>
  <r>
    <n v="34082"/>
    <s v="Combaillaux"/>
    <x v="6"/>
    <m/>
    <m/>
    <x v="3"/>
    <m/>
    <n v="15"/>
    <s v="pas d'attrib."/>
    <s v="pas d'attrib."/>
    <s v="pas d'attrib."/>
    <s v="pas d'attrib."/>
    <x v="33"/>
    <n v="2"/>
    <n v="4"/>
    <n v="1"/>
    <n v="1"/>
    <n v="4"/>
    <n v="8"/>
    <n v="1"/>
    <n v="1"/>
    <n v="0"/>
    <n v="0"/>
    <n v="0.02"/>
    <n v="18"/>
    <n v="15"/>
    <n v="7"/>
    <n v="0"/>
    <n v="0"/>
    <n v="0"/>
    <n v="0"/>
    <n v="0"/>
    <n v="0"/>
    <n v="0"/>
    <n v="0"/>
    <n v="0"/>
    <n v="0"/>
    <n v="0"/>
    <n v="0"/>
    <n v="0"/>
    <n v="0"/>
    <n v="3"/>
    <s v="1,20"/>
    <s v="pas d'attribution"/>
    <n v="2"/>
  </r>
  <r>
    <n v="34083"/>
    <s v="Combes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84"/>
    <s v="Corneilhan"/>
    <x v="1"/>
    <m/>
    <m/>
    <x v="3"/>
    <m/>
    <n v="27"/>
    <s v="pas d'attrib."/>
    <s v="pas d'attrib."/>
    <s v="pas d'attrib."/>
    <s v="pas d'attrib."/>
    <x v="33"/>
    <n v="2"/>
    <n v="1"/>
    <n v="2"/>
    <n v="0"/>
    <n v="3"/>
    <n v="9"/>
    <n v="15"/>
    <n v="0"/>
    <n v="7.4074"/>
    <n v="0"/>
    <n v="0.04"/>
    <n v="12"/>
    <n v="4"/>
    <n v="7"/>
    <n v="0"/>
    <n v="0"/>
    <n v="0"/>
    <n v="0"/>
    <n v="0"/>
    <n v="0"/>
    <n v="0"/>
    <n v="0"/>
    <n v="0"/>
    <n v="0"/>
    <n v="0"/>
    <n v="0"/>
    <n v="0"/>
    <n v="0"/>
    <n v="3"/>
    <s v="3,00"/>
    <s v="pas d'attribution"/>
    <n v="2"/>
  </r>
  <r>
    <n v="34085"/>
    <s v="Coulobres"/>
    <x v="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86"/>
    <s v="Courniou"/>
    <x v="8"/>
    <m/>
    <m/>
    <x v="3"/>
    <m/>
    <n v="9"/>
    <s v="pas d'attrib."/>
    <s v="pas d'attrib."/>
    <s v="pas d'attrib."/>
    <s v="pas d'attrib."/>
    <x v="33"/>
    <n v="0"/>
    <n v="0"/>
    <n v="1"/>
    <n v="0"/>
    <n v="0"/>
    <n v="3"/>
    <n v="3"/>
    <n v="3"/>
    <n v="0"/>
    <n v="0"/>
    <n v="0.03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87"/>
    <s v="Cournonsec"/>
    <x v="3"/>
    <m/>
    <m/>
    <x v="3"/>
    <m/>
    <n v="147"/>
    <n v="5"/>
    <s v="pas d'attrib."/>
    <n v="3.6666666669999999"/>
    <s v="pas d'attrib."/>
    <x v="20"/>
    <n v="19"/>
    <n v="22"/>
    <n v="15"/>
    <n v="1"/>
    <n v="24"/>
    <n v="72"/>
    <n v="47"/>
    <n v="3"/>
    <n v="0"/>
    <n v="6.25"/>
    <n v="0.12"/>
    <n v="75"/>
    <n v="11"/>
    <n v="61"/>
    <n v="7"/>
    <n v="0"/>
    <n v="0"/>
    <n v="0"/>
    <n v="0"/>
    <n v="0"/>
    <n v="0"/>
    <n v="0"/>
    <n v="0"/>
    <n v="0"/>
    <n v="0"/>
    <n v="0"/>
    <n v="0"/>
    <n v="0"/>
    <n v="3"/>
    <s v="6,82"/>
    <s v="8,71"/>
    <n v="1"/>
  </r>
  <r>
    <n v="34089"/>
    <s v="Creissan"/>
    <x v="13"/>
    <m/>
    <m/>
    <x v="3"/>
    <m/>
    <n v="24"/>
    <s v="pas d'attrib."/>
    <s v="pas d'attrib."/>
    <n v="1.5"/>
    <s v="pas d'attrib."/>
    <x v="33"/>
    <n v="2"/>
    <n v="3"/>
    <n v="0"/>
    <n v="0"/>
    <n v="2"/>
    <n v="12"/>
    <n v="10"/>
    <n v="0"/>
    <n v="0"/>
    <n v="13.0435"/>
    <n v="0.04"/>
    <n v="12"/>
    <n v="3"/>
    <n v="5"/>
    <n v="2"/>
    <n v="0"/>
    <n v="0"/>
    <n v="0"/>
    <n v="0"/>
    <n v="0"/>
    <n v="0"/>
    <n v="0"/>
    <n v="0"/>
    <n v="0"/>
    <n v="0"/>
    <n v="0"/>
    <n v="0"/>
    <n v="0"/>
    <n v="3"/>
    <s v="4,00"/>
    <s v="2,50"/>
    <n v="4"/>
  </r>
  <r>
    <n v="34091"/>
    <s v="Le Cro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92"/>
    <s v="Cruzy"/>
    <x v="13"/>
    <m/>
    <m/>
    <x v="3"/>
    <m/>
    <n v="0"/>
    <s v="pas d'attrib."/>
    <s v="pas d'attrib."/>
    <s v="pas d'attrib."/>
    <s v="pas d'attrib."/>
    <x v="31"/>
    <n v="1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93"/>
    <s v="Dio-et-Valquières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94"/>
    <s v="Espondeilhan"/>
    <x v="1"/>
    <m/>
    <m/>
    <x v="3"/>
    <m/>
    <n v="2"/>
    <s v="pas d'attrib."/>
    <s v="pas d'attrib."/>
    <s v="pas d'attrib."/>
    <s v="pas d'attrib."/>
    <x v="8"/>
    <n v="4"/>
    <n v="4"/>
    <n v="2"/>
    <n v="0"/>
    <n v="0"/>
    <n v="0"/>
    <n v="2"/>
    <n v="0"/>
    <n v="0"/>
    <n v="0"/>
    <n v="0"/>
    <n v="3"/>
    <n v="0"/>
    <n v="15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096"/>
    <s v="Faugères"/>
    <x v="7"/>
    <m/>
    <m/>
    <x v="3"/>
    <m/>
    <n v="5"/>
    <s v="pas d'attrib."/>
    <s v="pas d'attrib."/>
    <s v="pas d'attrib."/>
    <s v="pas d'attrib."/>
    <x v="33"/>
    <n v="0"/>
    <n v="2"/>
    <n v="0"/>
    <n v="0"/>
    <n v="0"/>
    <n v="0"/>
    <n v="4"/>
    <n v="1"/>
    <n v="0"/>
    <n v="25"/>
    <n v="0.02"/>
    <n v="1"/>
    <n v="0"/>
    <n v="3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97"/>
    <s v="Félines-Minervois"/>
    <x v="8"/>
    <m/>
    <m/>
    <x v="3"/>
    <m/>
    <n v="6"/>
    <s v="pas d'attrib."/>
    <s v="pas d'attrib."/>
    <n v="1.5"/>
    <s v="pas d'attrib."/>
    <x v="33"/>
    <n v="0"/>
    <n v="3"/>
    <n v="0"/>
    <n v="0"/>
    <n v="0"/>
    <n v="2"/>
    <n v="4"/>
    <n v="0"/>
    <n v="0"/>
    <n v="16.666699999999999"/>
    <n v="0.03"/>
    <n v="0"/>
    <n v="0"/>
    <n v="3"/>
    <n v="2"/>
    <n v="0"/>
    <n v="0"/>
    <n v="0"/>
    <n v="0"/>
    <n v="0"/>
    <n v="0"/>
    <n v="0"/>
    <n v="0"/>
    <n v="0"/>
    <n v="0"/>
    <n v="0"/>
    <n v="0"/>
    <n v="0"/>
    <n v="3"/>
    <s v="pas d'attribution"/>
    <s v="1,50"/>
    <n v="4"/>
  </r>
  <r>
    <n v="34098"/>
    <s v="Ferrals-les-Montagne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099"/>
    <s v="Ferrières-les-Verreri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00"/>
    <s v="Ferrières-Poussarou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02"/>
    <s v="Fontanè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03"/>
    <s v="Fontès"/>
    <x v="12"/>
    <m/>
    <m/>
    <x v="3"/>
    <m/>
    <n v="6"/>
    <s v="pas d'attrib."/>
    <s v="pas d'attrib."/>
    <s v="pas d'attrib."/>
    <s v="pas d'attrib."/>
    <x v="33"/>
    <n v="0"/>
    <n v="1"/>
    <n v="0"/>
    <n v="0"/>
    <n v="0"/>
    <n v="3"/>
    <n v="3"/>
    <n v="0"/>
    <n v="0"/>
    <n v="0"/>
    <n v="0.01"/>
    <n v="4"/>
    <n v="1"/>
    <n v="2"/>
    <n v="0"/>
    <n v="0"/>
    <n v="0"/>
    <n v="0"/>
    <n v="0"/>
    <n v="0"/>
    <n v="0"/>
    <n v="0"/>
    <n v="0"/>
    <n v="0"/>
    <n v="0"/>
    <n v="0"/>
    <n v="0"/>
    <n v="0"/>
    <n v="3"/>
    <s v="4,00"/>
    <s v="pas d'attribution"/>
    <n v="3"/>
  </r>
  <r>
    <n v="34104"/>
    <s v="Fos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05"/>
    <s v="Fouzilhon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06"/>
    <s v="Fozière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07"/>
    <s v="Fraisse-sur-Agout"/>
    <x v="15"/>
    <m/>
    <m/>
    <x v="3"/>
    <m/>
    <n v="4"/>
    <s v="pas d'attrib."/>
    <s v="pas d'attrib."/>
    <n v="1"/>
    <s v="pas d'attrib."/>
    <x v="33"/>
    <n v="0"/>
    <n v="1"/>
    <n v="0"/>
    <n v="0"/>
    <n v="0"/>
    <n v="2"/>
    <n v="2"/>
    <n v="0"/>
    <n v="0"/>
    <n v="25"/>
    <n v="0.02"/>
    <n v="2"/>
    <n v="0"/>
    <n v="1"/>
    <n v="1"/>
    <n v="0"/>
    <n v="0"/>
    <n v="0"/>
    <n v="0"/>
    <n v="0"/>
    <n v="0"/>
    <n v="0"/>
    <n v="0"/>
    <n v="0"/>
    <n v="0"/>
    <n v="0"/>
    <n v="0"/>
    <n v="0"/>
    <n v="3"/>
    <s v="pas d'attribution"/>
    <s v="1,00"/>
    <n v="4"/>
  </r>
  <r>
    <n v="34109"/>
    <s v="Gabian"/>
    <x v="7"/>
    <m/>
    <m/>
    <x v="3"/>
    <m/>
    <n v="29"/>
    <s v="pas d'attrib."/>
    <n v="4"/>
    <n v="2"/>
    <s v="pas d'attrib."/>
    <x v="33"/>
    <n v="4"/>
    <n v="2"/>
    <n v="1"/>
    <n v="0"/>
    <n v="8"/>
    <n v="11"/>
    <n v="9"/>
    <n v="1"/>
    <n v="3.4483000000000001"/>
    <n v="3.4483000000000001"/>
    <n v="7.0000000000000007E-2"/>
    <n v="10"/>
    <n v="4"/>
    <n v="7"/>
    <n v="2"/>
    <n v="0"/>
    <n v="1"/>
    <n v="0"/>
    <n v="0"/>
    <n v="0"/>
    <n v="0"/>
    <n v="0"/>
    <n v="0"/>
    <n v="0"/>
    <n v="0"/>
    <n v="0"/>
    <n v="3"/>
    <n v="0"/>
    <n v="3"/>
    <s v="2,50"/>
    <s v="3,50"/>
    <n v="3"/>
  </r>
  <r>
    <n v="34110"/>
    <s v="Galargues"/>
    <x v="0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11"/>
    <s v="Ganges"/>
    <x v="9"/>
    <m/>
    <m/>
    <x v="3"/>
    <m/>
    <n v="253"/>
    <s v="pas d'attrib."/>
    <s v="pas d'attrib."/>
    <n v="20"/>
    <n v="3.875"/>
    <x v="36"/>
    <n v="49"/>
    <n v="40"/>
    <n v="31"/>
    <n v="0"/>
    <n v="35"/>
    <n v="86"/>
    <n v="108"/>
    <n v="24"/>
    <n v="0.4032"/>
    <n v="4.8387000000000002"/>
    <n v="0.12"/>
    <n v="142"/>
    <n v="31"/>
    <n v="146"/>
    <n v="10"/>
    <n v="0"/>
    <n v="0"/>
    <n v="0"/>
    <n v="0"/>
    <n v="0"/>
    <n v="0"/>
    <n v="0"/>
    <n v="0"/>
    <n v="0"/>
    <n v="0"/>
    <n v="0"/>
    <n v="0"/>
    <n v="0"/>
    <n v="3"/>
    <s v="4,58"/>
    <s v="14,60"/>
    <n v="2"/>
  </r>
  <r>
    <n v="34112"/>
    <s v="Garrigues"/>
    <x v="0"/>
    <m/>
    <m/>
    <x v="3"/>
    <m/>
    <n v="0"/>
    <s v="pas d'attrib."/>
    <s v="pas d'attrib."/>
    <s v="pas d'attrib."/>
    <s v="pas d'attrib."/>
    <x v="33"/>
    <n v="0"/>
    <n v="3"/>
    <n v="0"/>
    <n v="0"/>
    <n v="0"/>
    <n v="0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14"/>
    <s v="Gignac"/>
    <x v="11"/>
    <m/>
    <m/>
    <x v="3"/>
    <m/>
    <n v="320"/>
    <s v="pas d'attrib."/>
    <n v="12.25"/>
    <n v="8.375"/>
    <n v="7.4444444440000002"/>
    <x v="30"/>
    <n v="49"/>
    <n v="67"/>
    <n v="67"/>
    <n v="3"/>
    <n v="38"/>
    <n v="99"/>
    <n v="141"/>
    <n v="39"/>
    <n v="1.2739"/>
    <n v="7.3247999999999998"/>
    <n v="0.12"/>
    <n v="228"/>
    <n v="57"/>
    <n v="216"/>
    <n v="21"/>
    <n v="0"/>
    <n v="0"/>
    <n v="0"/>
    <n v="0"/>
    <n v="0"/>
    <n v="0"/>
    <n v="0"/>
    <n v="0"/>
    <n v="0"/>
    <n v="0"/>
    <n v="0"/>
    <n v="0"/>
    <n v="0"/>
    <n v="3"/>
    <s v="4,00"/>
    <s v="10,29"/>
    <n v="2"/>
  </r>
  <r>
    <n v="34115"/>
    <s v="Gorniès"/>
    <x v="9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17"/>
    <s v="Graissessac"/>
    <x v="10"/>
    <m/>
    <m/>
    <x v="3"/>
    <m/>
    <n v="16"/>
    <s v="pas d'attrib."/>
    <s v="pas d'attrib."/>
    <n v="0"/>
    <s v="pas d'attrib."/>
    <x v="32"/>
    <m/>
    <m/>
    <m/>
    <n v="0"/>
    <n v="0"/>
    <n v="3"/>
    <n v="12"/>
    <n v="1"/>
    <n v="25"/>
    <n v="12.5"/>
    <n v="0.04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18"/>
    <s v="Guzargu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19"/>
    <s v="Hérépian"/>
    <x v="10"/>
    <m/>
    <m/>
    <x v="3"/>
    <m/>
    <n v="47"/>
    <s v="pas d'attrib."/>
    <s v="pas d'attrib."/>
    <n v="1.3333333329999999"/>
    <n v="0.77777777800000003"/>
    <x v="31"/>
    <n v="15"/>
    <n v="16"/>
    <n v="7"/>
    <n v="0"/>
    <n v="2"/>
    <n v="26"/>
    <n v="17"/>
    <n v="2"/>
    <n v="0"/>
    <n v="7.1429"/>
    <n v="0.06"/>
    <n v="55"/>
    <n v="15"/>
    <n v="42"/>
    <n v="21"/>
    <n v="0"/>
    <n v="0"/>
    <n v="0"/>
    <n v="0"/>
    <n v="0"/>
    <n v="0"/>
    <n v="0"/>
    <n v="0"/>
    <n v="0"/>
    <n v="0"/>
    <n v="0"/>
    <n v="0"/>
    <n v="0"/>
    <n v="3"/>
    <s v="3,67"/>
    <s v="2,00"/>
    <n v="3"/>
  </r>
  <r>
    <n v="34121"/>
    <s v="Joncels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22"/>
    <s v="Jonquières"/>
    <x v="11"/>
    <m/>
    <m/>
    <x v="3"/>
    <m/>
    <n v="0"/>
    <s v="pas d'attrib."/>
    <s v="pas d'attrib."/>
    <s v="pas d'attrib."/>
    <s v="pas d'attrib."/>
    <x v="34"/>
    <n v="4"/>
    <n v="7"/>
    <n v="4"/>
    <n v="0"/>
    <n v="0"/>
    <n v="0"/>
    <n v="0"/>
    <n v="0"/>
    <n v="0"/>
    <n v="0"/>
    <n v="0"/>
    <n v="13"/>
    <n v="0"/>
    <n v="17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24"/>
    <s v="Lacoste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25"/>
    <s v="Lagamas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26"/>
    <s v="Lamalou-les-Bains"/>
    <x v="10"/>
    <m/>
    <m/>
    <x v="3"/>
    <m/>
    <n v="17"/>
    <s v="pas d'attrib."/>
    <s v="pas d'attrib."/>
    <s v="pas d'attrib."/>
    <n v="1"/>
    <x v="4"/>
    <n v="5"/>
    <n v="8"/>
    <n v="2"/>
    <n v="0"/>
    <n v="0"/>
    <n v="8"/>
    <n v="9"/>
    <n v="0"/>
    <n v="5.8823999999999996"/>
    <n v="11.764699999999999"/>
    <n v="0.02"/>
    <n v="22"/>
    <n v="1"/>
    <n v="19"/>
    <n v="2"/>
    <n v="0"/>
    <n v="0"/>
    <n v="0"/>
    <n v="0"/>
    <n v="0"/>
    <n v="0"/>
    <n v="0"/>
    <n v="0"/>
    <n v="0"/>
    <n v="0"/>
    <n v="0"/>
    <n v="0"/>
    <n v="0"/>
    <n v="3"/>
    <s v="22,00"/>
    <s v="9,50"/>
    <n v="3"/>
  </r>
  <r>
    <n v="34127"/>
    <s v="Lansargues"/>
    <x v="16"/>
    <m/>
    <m/>
    <x v="3"/>
    <m/>
    <n v="53"/>
    <s v="pas d'attrib."/>
    <n v="14"/>
    <n v="14"/>
    <n v="4"/>
    <x v="34"/>
    <n v="14"/>
    <n v="14"/>
    <n v="12"/>
    <n v="0"/>
    <n v="19"/>
    <n v="26"/>
    <n v="8"/>
    <n v="0"/>
    <n v="0"/>
    <n v="9.8039000000000005"/>
    <n v="0.04"/>
    <n v="42"/>
    <n v="6"/>
    <n v="49"/>
    <n v="5"/>
    <n v="0"/>
    <n v="0"/>
    <n v="0"/>
    <n v="0"/>
    <n v="0"/>
    <n v="0"/>
    <n v="0"/>
    <n v="0"/>
    <n v="0"/>
    <n v="0"/>
    <n v="0"/>
    <n v="0"/>
    <n v="0"/>
    <n v="3"/>
    <s v="7,00"/>
    <s v="9,80"/>
    <n v="1"/>
  </r>
  <r>
    <n v="34128"/>
    <s v="Laroque"/>
    <x v="9"/>
    <m/>
    <m/>
    <x v="3"/>
    <m/>
    <n v="0"/>
    <s v="pas d'attrib."/>
    <s v="pas d'attrib."/>
    <s v="pas d'attrib."/>
    <s v="pas d'attrib."/>
    <x v="33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30"/>
    <s v="Laurens"/>
    <x v="7"/>
    <m/>
    <m/>
    <x v="3"/>
    <m/>
    <n v="0"/>
    <s v="pas d'attrib."/>
    <s v="pas d'attrib."/>
    <s v="pas d'attrib."/>
    <s v="pas d'attrib."/>
    <x v="33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31"/>
    <s v="Lauret"/>
    <x v="6"/>
    <m/>
    <m/>
    <x v="3"/>
    <m/>
    <n v="8"/>
    <s v="pas d'attrib."/>
    <s v="pas d'attrib."/>
    <s v="pas d'attrib."/>
    <s v="pas d'attrib."/>
    <x v="33"/>
    <n v="2"/>
    <n v="3"/>
    <n v="1"/>
    <n v="0"/>
    <n v="2"/>
    <n v="6"/>
    <n v="0"/>
    <n v="0"/>
    <n v="0"/>
    <n v="0"/>
    <n v="0.03"/>
    <n v="10"/>
    <n v="0"/>
    <n v="7"/>
    <n v="0"/>
    <n v="0"/>
    <n v="5"/>
    <n v="0"/>
    <n v="0"/>
    <n v="0"/>
    <n v="0"/>
    <n v="0"/>
    <n v="0"/>
    <n v="0"/>
    <n v="0"/>
    <n v="0"/>
    <n v="10"/>
    <n v="0"/>
    <n v="3"/>
    <s v="pas d'attribution"/>
    <s v="pas d'attribution"/>
    <n v="3"/>
  </r>
  <r>
    <n v="34132"/>
    <s v="Lauroux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33"/>
    <s v="Lavalette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34"/>
    <s v="Lavérune"/>
    <x v="3"/>
    <m/>
    <m/>
    <x v="3"/>
    <m/>
    <n v="155"/>
    <s v="pas d'attrib."/>
    <n v="38"/>
    <n v="11.66666667"/>
    <n v="19"/>
    <x v="27"/>
    <n v="38"/>
    <n v="35"/>
    <n v="19"/>
    <n v="0"/>
    <n v="30"/>
    <n v="73"/>
    <n v="49"/>
    <n v="3"/>
    <n v="0"/>
    <n v="3.8961000000000001"/>
    <n v="0.11"/>
    <n v="119"/>
    <n v="8"/>
    <n v="111"/>
    <n v="5"/>
    <n v="0"/>
    <n v="0"/>
    <n v="0"/>
    <n v="0"/>
    <n v="0"/>
    <n v="0"/>
    <n v="0"/>
    <n v="0"/>
    <n v="0"/>
    <n v="62"/>
    <n v="0"/>
    <n v="0"/>
    <n v="0"/>
    <n v="3"/>
    <s v="14,88"/>
    <s v="22,20"/>
    <n v="1"/>
  </r>
  <r>
    <n v="34135"/>
    <s v="Lespignan"/>
    <x v="5"/>
    <m/>
    <m/>
    <x v="3"/>
    <m/>
    <n v="91"/>
    <s v="pas d'attrib."/>
    <n v="3.6666666669999999"/>
    <n v="6.5"/>
    <n v="10"/>
    <x v="34"/>
    <n v="11"/>
    <n v="13"/>
    <n v="10"/>
    <n v="0"/>
    <n v="23"/>
    <n v="37"/>
    <n v="24"/>
    <n v="7"/>
    <n v="2.1978"/>
    <n v="7.6923000000000004"/>
    <n v="0.06"/>
    <n v="49"/>
    <n v="11"/>
    <n v="36"/>
    <n v="6"/>
    <n v="0"/>
    <n v="11"/>
    <n v="0"/>
    <n v="0"/>
    <n v="0"/>
    <n v="0"/>
    <n v="0"/>
    <n v="0"/>
    <n v="0"/>
    <n v="0"/>
    <n v="0"/>
    <n v="19"/>
    <n v="0"/>
    <n v="3"/>
    <s v="4,45"/>
    <s v="6,00"/>
    <n v="1"/>
  </r>
  <r>
    <n v="34136"/>
    <s v="Lézignan-la-Cèbe"/>
    <x v="2"/>
    <m/>
    <m/>
    <x v="3"/>
    <m/>
    <n v="30"/>
    <s v="pas d'attrib."/>
    <s v="pas d'attrib."/>
    <s v="pas d'attrib."/>
    <n v="5"/>
    <x v="34"/>
    <n v="2"/>
    <n v="11"/>
    <n v="10"/>
    <n v="0"/>
    <n v="0"/>
    <n v="13"/>
    <n v="17"/>
    <n v="0"/>
    <n v="0"/>
    <n v="7.1429"/>
    <n v="0.05"/>
    <n v="23"/>
    <n v="1"/>
    <n v="26"/>
    <n v="2"/>
    <n v="0"/>
    <n v="0"/>
    <n v="0"/>
    <n v="0"/>
    <n v="0"/>
    <n v="0"/>
    <n v="0"/>
    <n v="0"/>
    <n v="0"/>
    <n v="0"/>
    <n v="0"/>
    <n v="0"/>
    <n v="0"/>
    <n v="3"/>
    <s v="23,00"/>
    <s v="13,00"/>
    <n v="2"/>
  </r>
  <r>
    <n v="34137"/>
    <s v="Liausson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38"/>
    <s v="Lieuran-Cabrières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39"/>
    <s v="Lieuran-lès-Béziers"/>
    <x v="1"/>
    <m/>
    <m/>
    <x v="3"/>
    <m/>
    <n v="7"/>
    <s v="pas d'attrib."/>
    <s v="pas d'attrib."/>
    <s v="pas d'attrib."/>
    <s v="pas d'attrib."/>
    <x v="33"/>
    <n v="2"/>
    <n v="2"/>
    <n v="3"/>
    <n v="0"/>
    <n v="2"/>
    <n v="2"/>
    <n v="3"/>
    <n v="0"/>
    <n v="0"/>
    <n v="0"/>
    <n v="0.01"/>
    <n v="5"/>
    <n v="6"/>
    <n v="7"/>
    <n v="0"/>
    <n v="0"/>
    <n v="5"/>
    <n v="0"/>
    <n v="0"/>
    <n v="0"/>
    <n v="0"/>
    <n v="0"/>
    <n v="0"/>
    <n v="0"/>
    <n v="0"/>
    <n v="0"/>
    <n v="12"/>
    <n v="0"/>
    <n v="3"/>
    <s v="0,83"/>
    <s v="pas d'attribution"/>
    <n v="2"/>
  </r>
  <r>
    <n v="34140"/>
    <s v="Lignan-sur-Orb"/>
    <x v="1"/>
    <m/>
    <m/>
    <x v="3"/>
    <m/>
    <n v="26"/>
    <s v="pas d'attrib."/>
    <s v="pas d'attrib."/>
    <s v="pas d'attrib."/>
    <n v="5.5"/>
    <x v="31"/>
    <n v="11"/>
    <n v="19"/>
    <n v="11"/>
    <n v="0"/>
    <n v="0"/>
    <n v="7"/>
    <n v="17"/>
    <n v="2"/>
    <n v="3.8462000000000001"/>
    <n v="7.6923000000000004"/>
    <n v="0.02"/>
    <n v="48"/>
    <n v="0"/>
    <n v="47"/>
    <n v="2"/>
    <n v="0"/>
    <n v="0"/>
    <n v="0"/>
    <n v="0"/>
    <n v="0"/>
    <n v="0"/>
    <n v="0"/>
    <n v="0"/>
    <n v="0"/>
    <n v="0"/>
    <n v="0"/>
    <n v="0"/>
    <n v="0"/>
    <n v="3"/>
    <s v="pas d'attribution"/>
    <s v="23,50"/>
    <n v="1"/>
  </r>
  <r>
    <n v="34141"/>
    <s v="La Livinière"/>
    <x v="8"/>
    <m/>
    <m/>
    <x v="3"/>
    <m/>
    <n v="17"/>
    <s v="pas d'attrib."/>
    <s v="pas d'attrib."/>
    <s v="pas d'attrib."/>
    <s v="pas d'attrib."/>
    <x v="32"/>
    <m/>
    <m/>
    <m/>
    <n v="0"/>
    <n v="0"/>
    <n v="0"/>
    <n v="10"/>
    <n v="7"/>
    <n v="0"/>
    <n v="0"/>
    <n v="7.0000000000000007E-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42"/>
    <s v="Lodève"/>
    <x v="14"/>
    <m/>
    <m/>
    <x v="3"/>
    <m/>
    <n v="501"/>
    <n v="16"/>
    <s v="pas d'attrib."/>
    <n v="8.1666666669999994"/>
    <n v="3.4"/>
    <x v="15"/>
    <n v="29"/>
    <n v="49"/>
    <n v="51"/>
    <n v="6"/>
    <n v="31"/>
    <n v="160"/>
    <n v="210"/>
    <n v="94"/>
    <n v="1.8711"/>
    <n v="4.1580000000000004"/>
    <n v="0.14000000000000001"/>
    <n v="180"/>
    <n v="23"/>
    <n v="150"/>
    <n v="22"/>
    <n v="0"/>
    <n v="18"/>
    <n v="0"/>
    <n v="0"/>
    <n v="0"/>
    <n v="0"/>
    <n v="0"/>
    <n v="0"/>
    <n v="0"/>
    <n v="13"/>
    <n v="0"/>
    <n v="31"/>
    <n v="0"/>
    <n v="3"/>
    <s v="7,83"/>
    <s v="6,82"/>
    <n v="3"/>
  </r>
  <r>
    <n v="34143"/>
    <s v="Loupian"/>
    <x v="4"/>
    <m/>
    <m/>
    <x v="3"/>
    <m/>
    <n v="42"/>
    <s v="pas d'attrib."/>
    <s v="pas d'attrib."/>
    <n v="11"/>
    <s v="pas d'attrib."/>
    <x v="20"/>
    <n v="13"/>
    <n v="11"/>
    <n v="9"/>
    <n v="0"/>
    <n v="4"/>
    <n v="21"/>
    <n v="17"/>
    <n v="0"/>
    <n v="0"/>
    <n v="2.5"/>
    <n v="0.04"/>
    <n v="37"/>
    <n v="1"/>
    <n v="49"/>
    <n v="1"/>
    <n v="0"/>
    <n v="4"/>
    <n v="0"/>
    <n v="0"/>
    <n v="0"/>
    <n v="0"/>
    <n v="0"/>
    <n v="0"/>
    <n v="0"/>
    <n v="0"/>
    <n v="0"/>
    <n v="9"/>
    <n v="0"/>
    <n v="3"/>
    <s v="37,00"/>
    <s v="49,00"/>
    <n v="1"/>
  </r>
  <r>
    <n v="34144"/>
    <s v="Lunas"/>
    <x v="10"/>
    <m/>
    <m/>
    <x v="3"/>
    <m/>
    <n v="5"/>
    <s v="pas d'attrib."/>
    <s v="pas d'attrib."/>
    <s v="pas d'attrib."/>
    <s v="pas d'attrib."/>
    <x v="33"/>
    <n v="0"/>
    <n v="1"/>
    <n v="0"/>
    <n v="1"/>
    <n v="2"/>
    <n v="2"/>
    <n v="0"/>
    <n v="0"/>
    <n v="0"/>
    <n v="20"/>
    <n v="0.02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47"/>
    <s v="Magalas"/>
    <x v="7"/>
    <m/>
    <m/>
    <x v="3"/>
    <m/>
    <n v="46"/>
    <s v="pas d'attrib."/>
    <s v="pas d'attrib."/>
    <n v="3"/>
    <n v="4"/>
    <x v="8"/>
    <n v="5"/>
    <n v="9"/>
    <n v="12"/>
    <n v="0"/>
    <n v="1"/>
    <n v="19"/>
    <n v="19"/>
    <n v="7"/>
    <n v="2.1739000000000002"/>
    <n v="13.0435"/>
    <n v="0.03"/>
    <n v="39"/>
    <n v="7"/>
    <n v="34"/>
    <n v="6"/>
    <n v="0"/>
    <n v="0"/>
    <n v="0"/>
    <n v="0"/>
    <n v="0"/>
    <n v="0"/>
    <n v="0"/>
    <n v="0"/>
    <n v="0"/>
    <n v="0"/>
    <n v="0"/>
    <n v="0"/>
    <n v="0"/>
    <n v="3"/>
    <s v="5,57"/>
    <s v="5,67"/>
    <n v="2"/>
  </r>
  <r>
    <n v="34149"/>
    <s v="Margon"/>
    <x v="7"/>
    <m/>
    <m/>
    <x v="3"/>
    <m/>
    <n v="18"/>
    <s v="pas d'attrib."/>
    <s v="pas d'attrib."/>
    <s v="pas d'attrib."/>
    <s v="pas d'attrib."/>
    <x v="34"/>
    <n v="6"/>
    <n v="9"/>
    <n v="2"/>
    <n v="0"/>
    <n v="0"/>
    <n v="7"/>
    <n v="11"/>
    <n v="0"/>
    <n v="0"/>
    <n v="0"/>
    <n v="0.06"/>
    <n v="10"/>
    <n v="3"/>
    <n v="32"/>
    <n v="0"/>
    <n v="0"/>
    <n v="2"/>
    <n v="0"/>
    <n v="0"/>
    <n v="0"/>
    <n v="0"/>
    <n v="0"/>
    <n v="0"/>
    <n v="0"/>
    <n v="8"/>
    <n v="0"/>
    <n v="6"/>
    <n v="0"/>
    <n v="3"/>
    <s v="3,33"/>
    <s v="pas d'attribution"/>
    <n v="3"/>
  </r>
  <r>
    <n v="34152"/>
    <s v="Mas-de-Londres"/>
    <x v="6"/>
    <m/>
    <m/>
    <x v="3"/>
    <m/>
    <n v="0"/>
    <s v="pas d'attrib."/>
    <s v="pas d'attrib."/>
    <s v="pas d'attrib."/>
    <s v="pas d'attrib."/>
    <x v="3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53"/>
    <s v="Les Matelles"/>
    <x v="6"/>
    <m/>
    <m/>
    <x v="3"/>
    <m/>
    <n v="0"/>
    <s v="pas d'attrib."/>
    <s v="pas d'attrib."/>
    <s v="pas d'attrib."/>
    <s v="pas d'attrib."/>
    <x v="33"/>
    <n v="2"/>
    <n v="3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54"/>
    <s v="Mauguio"/>
    <x v="16"/>
    <m/>
    <m/>
    <x v="3"/>
    <m/>
    <n v="469"/>
    <n v="2.0697674419999998"/>
    <n v="8.3333333330000006"/>
    <n v="12.454545449999999"/>
    <n v="13.5"/>
    <x v="37"/>
    <n v="150"/>
    <n v="137"/>
    <n v="81"/>
    <n v="93"/>
    <n v="78"/>
    <n v="135"/>
    <n v="151"/>
    <n v="12"/>
    <n v="1.2959000000000001"/>
    <n v="16.78"/>
    <n v="0.06"/>
    <n v="443"/>
    <n v="33"/>
    <n v="507"/>
    <n v="78"/>
    <n v="0"/>
    <n v="53"/>
    <n v="0"/>
    <n v="0"/>
    <n v="0"/>
    <n v="0"/>
    <n v="0"/>
    <n v="0"/>
    <n v="36"/>
    <n v="4"/>
    <n v="57"/>
    <n v="86"/>
    <n v="0"/>
    <n v="3"/>
    <s v="13,42"/>
    <s v="6,50"/>
    <n v="1"/>
  </r>
  <r>
    <n v="34155"/>
    <s v="Maureilhan"/>
    <x v="5"/>
    <m/>
    <m/>
    <x v="3"/>
    <m/>
    <n v="10"/>
    <s v="pas d'attrib."/>
    <s v="pas d'attrib."/>
    <n v="10.5"/>
    <n v="2.3333333330000001"/>
    <x v="8"/>
    <n v="9"/>
    <n v="21"/>
    <n v="7"/>
    <n v="0"/>
    <n v="1"/>
    <n v="4"/>
    <n v="5"/>
    <n v="0"/>
    <n v="0"/>
    <n v="33.333300000000001"/>
    <n v="0.01"/>
    <n v="22"/>
    <n v="0"/>
    <n v="44"/>
    <n v="5"/>
    <n v="0"/>
    <n v="0"/>
    <n v="0"/>
    <n v="0"/>
    <n v="0"/>
    <n v="0"/>
    <n v="0"/>
    <n v="0"/>
    <n v="0"/>
    <n v="0"/>
    <n v="0"/>
    <n v="0"/>
    <n v="0"/>
    <n v="3"/>
    <s v="pas d'attribution"/>
    <s v="8,80"/>
    <n v="2"/>
  </r>
  <r>
    <n v="34156"/>
    <s v="Mérifons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58"/>
    <s v="Minerve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59"/>
    <s v="Mireval"/>
    <x v="4"/>
    <m/>
    <m/>
    <x v="3"/>
    <m/>
    <n v="44"/>
    <s v="pas d'attrib."/>
    <n v="9"/>
    <s v="pas d'attrib."/>
    <n v="13"/>
    <x v="4"/>
    <n v="18"/>
    <n v="21"/>
    <n v="13"/>
    <n v="0"/>
    <n v="13"/>
    <n v="20"/>
    <n v="8"/>
    <n v="3"/>
    <n v="0"/>
    <n v="11.6279"/>
    <n v="0.03"/>
    <n v="45"/>
    <n v="4"/>
    <n v="62"/>
    <n v="3"/>
    <n v="0"/>
    <n v="2"/>
    <n v="0"/>
    <n v="0"/>
    <n v="0"/>
    <n v="0"/>
    <n v="0"/>
    <n v="0"/>
    <n v="0"/>
    <n v="0"/>
    <n v="0"/>
    <n v="4"/>
    <n v="0"/>
    <n v="3"/>
    <s v="11,25"/>
    <s v="20,67"/>
    <n v="1"/>
  </r>
  <r>
    <n v="34160"/>
    <s v="Mon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61"/>
    <s v="Montady"/>
    <x v="5"/>
    <m/>
    <m/>
    <x v="3"/>
    <m/>
    <n v="43"/>
    <s v="pas d'attrib."/>
    <n v="2.6"/>
    <n v="2.1666666669999999"/>
    <n v="2"/>
    <x v="8"/>
    <n v="13"/>
    <n v="13"/>
    <n v="10"/>
    <n v="2"/>
    <n v="4"/>
    <n v="20"/>
    <n v="16"/>
    <n v="1"/>
    <n v="0"/>
    <n v="15.625"/>
    <n v="0.03"/>
    <n v="54"/>
    <n v="3"/>
    <n v="44"/>
    <n v="16"/>
    <n v="0"/>
    <n v="0"/>
    <n v="0"/>
    <n v="0"/>
    <n v="0"/>
    <n v="0"/>
    <n v="0"/>
    <n v="0"/>
    <n v="0"/>
    <n v="0"/>
    <n v="71"/>
    <n v="0"/>
    <n v="0"/>
    <n v="3"/>
    <s v="18,00"/>
    <s v="2,75"/>
    <n v="1"/>
  </r>
  <r>
    <n v="34163"/>
    <s v="Montarnaud"/>
    <x v="11"/>
    <m/>
    <m/>
    <x v="3"/>
    <m/>
    <n v="125"/>
    <s v="pas d'attrib."/>
    <n v="3.25"/>
    <s v="pas d'attrib."/>
    <s v="pas d'attrib."/>
    <x v="38"/>
    <n v="13"/>
    <n v="34"/>
    <n v="18"/>
    <n v="0"/>
    <n v="31"/>
    <n v="58"/>
    <n v="31"/>
    <n v="5"/>
    <n v="0.81969999999999998"/>
    <n v="3.2787000000000002"/>
    <n v="0.09"/>
    <n v="83"/>
    <n v="16"/>
    <n v="82"/>
    <n v="4"/>
    <n v="0"/>
    <n v="16"/>
    <n v="0"/>
    <n v="0"/>
    <n v="0"/>
    <n v="0"/>
    <n v="0"/>
    <n v="0"/>
    <n v="0"/>
    <n v="0"/>
    <n v="0"/>
    <n v="12"/>
    <n v="0"/>
    <n v="3"/>
    <s v="5,19"/>
    <s v="20,50"/>
    <n v="1"/>
  </r>
  <r>
    <n v="34164"/>
    <s v="Montaud"/>
    <x v="3"/>
    <m/>
    <m/>
    <x v="3"/>
    <m/>
    <n v="12"/>
    <s v="pas d'attrib."/>
    <n v="1"/>
    <n v="0"/>
    <s v="pas d'attrib."/>
    <x v="34"/>
    <n v="1"/>
    <n v="0"/>
    <n v="1"/>
    <n v="0"/>
    <n v="4"/>
    <n v="5"/>
    <n v="3"/>
    <n v="0"/>
    <n v="0"/>
    <n v="16.666699999999999"/>
    <n v="0.03"/>
    <n v="8"/>
    <n v="1"/>
    <n v="7"/>
    <n v="2"/>
    <n v="0"/>
    <n v="0"/>
    <n v="0"/>
    <n v="0"/>
    <n v="0"/>
    <n v="0"/>
    <n v="0"/>
    <n v="0"/>
    <n v="0"/>
    <n v="0"/>
    <n v="0"/>
    <n v="0"/>
    <n v="0"/>
    <n v="3"/>
    <s v="8,00"/>
    <s v="3,50"/>
    <n v="2"/>
  </r>
  <r>
    <n v="34165"/>
    <s v="Montbazin"/>
    <x v="4"/>
    <m/>
    <m/>
    <x v="3"/>
    <m/>
    <n v="73"/>
    <s v="pas d'attrib."/>
    <s v="pas d'attrib."/>
    <n v="14"/>
    <s v="pas d'attrib."/>
    <x v="33"/>
    <n v="12"/>
    <n v="14"/>
    <n v="8"/>
    <n v="3"/>
    <n v="6"/>
    <n v="34"/>
    <n v="24"/>
    <n v="6"/>
    <n v="1.3889"/>
    <n v="1.3889"/>
    <n v="0.06"/>
    <n v="37"/>
    <n v="3"/>
    <n v="38"/>
    <n v="1"/>
    <n v="0"/>
    <n v="0"/>
    <n v="0"/>
    <n v="0"/>
    <n v="0"/>
    <n v="0"/>
    <n v="0"/>
    <n v="0"/>
    <n v="0"/>
    <n v="0"/>
    <n v="0"/>
    <n v="0"/>
    <n v="0"/>
    <n v="3"/>
    <s v="12,33"/>
    <s v="38,00"/>
    <n v="1"/>
  </r>
  <r>
    <n v="34166"/>
    <s v="Montblanc"/>
    <x v="1"/>
    <m/>
    <m/>
    <x v="3"/>
    <m/>
    <n v="28"/>
    <s v="pas d'attrib."/>
    <s v="pas d'attrib."/>
    <n v="8"/>
    <s v="pas d'attrib."/>
    <x v="31"/>
    <n v="5"/>
    <n v="8"/>
    <n v="4"/>
    <n v="0"/>
    <n v="0"/>
    <n v="15"/>
    <n v="13"/>
    <n v="0"/>
    <n v="0"/>
    <n v="3.5714000000000001"/>
    <n v="0.02"/>
    <n v="17"/>
    <n v="1"/>
    <n v="19"/>
    <n v="1"/>
    <n v="0"/>
    <n v="0"/>
    <n v="0"/>
    <n v="0"/>
    <n v="0"/>
    <n v="0"/>
    <n v="0"/>
    <n v="0"/>
    <n v="0"/>
    <n v="0"/>
    <n v="0"/>
    <n v="0"/>
    <n v="0"/>
    <n v="3"/>
    <s v="17,00"/>
    <s v="19,00"/>
    <n v="2"/>
  </r>
  <r>
    <n v="34167"/>
    <s v="Montels"/>
    <x v="13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68"/>
    <s v="Montesquieu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70"/>
    <s v="Montouliers"/>
    <x v="13"/>
    <m/>
    <m/>
    <x v="3"/>
    <m/>
    <n v="3"/>
    <s v="pas d'attrib."/>
    <s v="pas d'attrib."/>
    <s v="pas d'attrib."/>
    <s v="pas d'attrib."/>
    <x v="32"/>
    <m/>
    <m/>
    <m/>
    <n v="0"/>
    <n v="0"/>
    <n v="1"/>
    <n v="2"/>
    <n v="0"/>
    <n v="0"/>
    <n v="0"/>
    <n v="0.0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71"/>
    <s v="Montoulieu"/>
    <x v="9"/>
    <m/>
    <m/>
    <x v="3"/>
    <m/>
    <n v="7"/>
    <s v="pas d'attrib."/>
    <s v="pas d'attrib."/>
    <s v="pas d'attrib."/>
    <s v="pas d'attrib."/>
    <x v="33"/>
    <n v="2"/>
    <n v="1"/>
    <n v="0"/>
    <n v="0"/>
    <n v="0"/>
    <n v="3"/>
    <n v="2"/>
    <n v="2"/>
    <n v="0"/>
    <n v="0"/>
    <n v="0.1"/>
    <n v="2"/>
    <n v="0"/>
    <n v="3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73"/>
    <s v="Montpeyroux"/>
    <x v="11"/>
    <m/>
    <m/>
    <x v="3"/>
    <m/>
    <n v="0"/>
    <s v="pas d'attrib."/>
    <s v="pas d'attrib."/>
    <s v="pas d'attrib."/>
    <s v="pas d'attrib."/>
    <x v="33"/>
    <n v="1"/>
    <n v="1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74"/>
    <s v="Moulès-et-Baucels"/>
    <x v="9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75"/>
    <s v="Mourèze"/>
    <x v="12"/>
    <m/>
    <m/>
    <x v="3"/>
    <m/>
    <n v="0"/>
    <s v="pas d'attrib."/>
    <s v="pas d'attrib."/>
    <s v="pas d'attrib."/>
    <s v="pas d'attrib."/>
    <x v="33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76"/>
    <s v="Mudaison"/>
    <x v="16"/>
    <m/>
    <m/>
    <x v="3"/>
    <m/>
    <n v="54"/>
    <s v="pas d'attrib."/>
    <s v="pas d'attrib."/>
    <n v="6.3333333329999997"/>
    <n v="13"/>
    <x v="4"/>
    <n v="24"/>
    <n v="19"/>
    <n v="13"/>
    <n v="0"/>
    <n v="4"/>
    <n v="27"/>
    <n v="22"/>
    <n v="1"/>
    <n v="1.9231"/>
    <n v="5.7691999999999997"/>
    <n v="0.05"/>
    <n v="61"/>
    <n v="1"/>
    <n v="66"/>
    <n v="4"/>
    <n v="0"/>
    <n v="11"/>
    <n v="0"/>
    <n v="0"/>
    <n v="0"/>
    <n v="0"/>
    <n v="0"/>
    <n v="0"/>
    <n v="0"/>
    <n v="0"/>
    <n v="0"/>
    <n v="19"/>
    <n v="0"/>
    <n v="3"/>
    <s v="61,00"/>
    <s v="16,50"/>
    <n v="1"/>
  </r>
  <r>
    <n v="34177"/>
    <s v="Murl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178"/>
    <s v="Murviel-lès-Béziers"/>
    <x v="7"/>
    <m/>
    <m/>
    <x v="3"/>
    <m/>
    <n v="92"/>
    <s v="pas d'attrib."/>
    <s v="pas d'attrib."/>
    <n v="5"/>
    <n v="14"/>
    <x v="34"/>
    <n v="15"/>
    <n v="10"/>
    <n v="14"/>
    <n v="0"/>
    <n v="8"/>
    <n v="33"/>
    <n v="25"/>
    <n v="26"/>
    <n v="1.0989"/>
    <n v="2.1978"/>
    <n v="7.0000000000000007E-2"/>
    <n v="50"/>
    <n v="9"/>
    <n v="43"/>
    <n v="3"/>
    <n v="0"/>
    <n v="0"/>
    <n v="0"/>
    <n v="0"/>
    <n v="0"/>
    <n v="0"/>
    <n v="0"/>
    <n v="0"/>
    <n v="0"/>
    <n v="0"/>
    <n v="0"/>
    <n v="0"/>
    <n v="0"/>
    <n v="3"/>
    <s v="5,56"/>
    <s v="14,33"/>
    <n v="3"/>
  </r>
  <r>
    <n v="34179"/>
    <s v="Murviel-lès-Montpellier"/>
    <x v="3"/>
    <m/>
    <m/>
    <x v="3"/>
    <m/>
    <n v="46"/>
    <s v="pas d'attrib."/>
    <s v="pas d'attrib."/>
    <n v="15"/>
    <s v="pas d'attrib."/>
    <x v="8"/>
    <n v="7"/>
    <n v="15"/>
    <n v="9"/>
    <n v="2"/>
    <n v="6"/>
    <n v="19"/>
    <n v="16"/>
    <n v="3"/>
    <n v="0"/>
    <n v="6.8182"/>
    <n v="0.06"/>
    <n v="31"/>
    <n v="1"/>
    <n v="39"/>
    <n v="1"/>
    <n v="0"/>
    <n v="10"/>
    <n v="0"/>
    <n v="0"/>
    <n v="0"/>
    <n v="0"/>
    <n v="0"/>
    <n v="0"/>
    <n v="0"/>
    <n v="0"/>
    <n v="0"/>
    <n v="19"/>
    <n v="0"/>
    <n v="3"/>
    <s v="31,00"/>
    <s v="39,00"/>
    <n v="2"/>
  </r>
  <r>
    <n v="34180"/>
    <s v="Nébian"/>
    <x v="12"/>
    <m/>
    <m/>
    <x v="3"/>
    <m/>
    <n v="15"/>
    <s v="pas d'attrib."/>
    <s v="pas d'attrib."/>
    <n v="4"/>
    <n v="2"/>
    <x v="34"/>
    <n v="3"/>
    <n v="4"/>
    <n v="2"/>
    <n v="0"/>
    <n v="0"/>
    <n v="2"/>
    <n v="10"/>
    <n v="3"/>
    <n v="0"/>
    <n v="13.333299999999999"/>
    <n v="0.03"/>
    <n v="8"/>
    <n v="0"/>
    <n v="11"/>
    <n v="2"/>
    <n v="0"/>
    <n v="0"/>
    <n v="0"/>
    <n v="0"/>
    <n v="0"/>
    <n v="0"/>
    <n v="0"/>
    <n v="0"/>
    <n v="0"/>
    <n v="0"/>
    <n v="0"/>
    <n v="0"/>
    <n v="0"/>
    <n v="3"/>
    <s v="pas d'attribution"/>
    <s v="5,50"/>
    <n v="2"/>
  </r>
  <r>
    <n v="34181"/>
    <s v="Neffiès"/>
    <x v="7"/>
    <m/>
    <m/>
    <x v="3"/>
    <m/>
    <n v="11"/>
    <s v="pas d'attrib."/>
    <s v="pas d'attrib."/>
    <s v="pas d'attrib."/>
    <s v="pas d'attrib."/>
    <x v="31"/>
    <n v="1"/>
    <n v="3"/>
    <n v="2"/>
    <n v="0"/>
    <n v="0"/>
    <n v="8"/>
    <n v="3"/>
    <n v="0"/>
    <n v="0"/>
    <n v="0"/>
    <n v="0.02"/>
    <n v="7"/>
    <n v="0"/>
    <n v="7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82"/>
    <s v="Nézignan-l'Évêque"/>
    <x v="2"/>
    <m/>
    <m/>
    <x v="3"/>
    <m/>
    <n v="65"/>
    <s v="pas d'attrib."/>
    <n v="1.5"/>
    <n v="4"/>
    <n v="1.75"/>
    <x v="33"/>
    <n v="6"/>
    <n v="8"/>
    <n v="7"/>
    <n v="1"/>
    <n v="22"/>
    <n v="19"/>
    <n v="23"/>
    <n v="0"/>
    <n v="1.5625"/>
    <n v="18.75"/>
    <n v="0.09"/>
    <n v="17"/>
    <n v="7"/>
    <n v="22"/>
    <n v="10"/>
    <n v="0"/>
    <n v="0"/>
    <n v="0"/>
    <n v="0"/>
    <n v="0"/>
    <n v="0"/>
    <n v="0"/>
    <n v="0"/>
    <n v="0"/>
    <n v="0"/>
    <n v="0"/>
    <n v="0"/>
    <n v="0"/>
    <n v="3"/>
    <s v="2,43"/>
    <s v="2,20"/>
    <n v="3"/>
  </r>
  <r>
    <n v="34183"/>
    <s v="Nissan-lez-Enserune"/>
    <x v="5"/>
    <m/>
    <m/>
    <x v="3"/>
    <m/>
    <n v="54"/>
    <n v="2"/>
    <s v="pas d'attrib."/>
    <n v="2.8"/>
    <n v="3"/>
    <x v="34"/>
    <n v="6"/>
    <n v="14"/>
    <n v="6"/>
    <n v="2"/>
    <n v="4"/>
    <n v="29"/>
    <n v="18"/>
    <n v="1"/>
    <n v="0"/>
    <n v="15.0943"/>
    <n v="0.03"/>
    <n v="30"/>
    <n v="2"/>
    <n v="30"/>
    <n v="8"/>
    <n v="0"/>
    <n v="10"/>
    <n v="0"/>
    <n v="0"/>
    <n v="0"/>
    <n v="0"/>
    <n v="0"/>
    <n v="0"/>
    <n v="0"/>
    <n v="0"/>
    <n v="0"/>
    <n v="17"/>
    <n v="0"/>
    <n v="3"/>
    <s v="15,00"/>
    <s v="3,75"/>
    <n v="2"/>
  </r>
  <r>
    <n v="34184"/>
    <s v="Nizas"/>
    <x v="2"/>
    <m/>
    <m/>
    <x v="3"/>
    <m/>
    <n v="7"/>
    <s v="pas d'attrib."/>
    <n v="0"/>
    <n v="0"/>
    <s v="pas d'attrib."/>
    <x v="32"/>
    <m/>
    <m/>
    <m/>
    <n v="0"/>
    <n v="4"/>
    <n v="2"/>
    <n v="1"/>
    <n v="0"/>
    <n v="0"/>
    <n v="28.571400000000001"/>
    <n v="0.02"/>
    <n v="1"/>
    <n v="3"/>
    <n v="0"/>
    <n v="0"/>
    <n v="0"/>
    <n v="0"/>
    <n v="0"/>
    <n v="0"/>
    <n v="0"/>
    <n v="0"/>
    <n v="0"/>
    <n v="0"/>
    <n v="0"/>
    <n v="0"/>
    <n v="0"/>
    <n v="0"/>
    <n v="0"/>
    <n v="3"/>
    <s v="0,33"/>
    <s v="pas d'attribution"/>
    <n v="3"/>
  </r>
  <r>
    <n v="34185"/>
    <s v="Notre-Dame-de-Londr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86"/>
    <s v="Octon"/>
    <x v="12"/>
    <m/>
    <m/>
    <x v="3"/>
    <m/>
    <n v="12"/>
    <s v="pas d'attrib."/>
    <s v="pas d'attrib."/>
    <s v="pas d'attrib."/>
    <s v="pas d'attrib."/>
    <x v="33"/>
    <n v="0"/>
    <n v="1"/>
    <n v="0"/>
    <n v="0"/>
    <n v="0"/>
    <n v="3"/>
    <n v="5"/>
    <n v="4"/>
    <n v="0"/>
    <n v="0"/>
    <n v="0.05"/>
    <n v="5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87"/>
    <s v="Olargues"/>
    <x v="8"/>
    <m/>
    <m/>
    <x v="3"/>
    <m/>
    <n v="8"/>
    <s v="pas d'attrib."/>
    <s v="pas d'attrib."/>
    <s v="pas d'attrib."/>
    <s v="pas d'attrib."/>
    <x v="33"/>
    <n v="3"/>
    <n v="1"/>
    <n v="0"/>
    <n v="0"/>
    <n v="0"/>
    <n v="7"/>
    <n v="1"/>
    <n v="0"/>
    <n v="14.2857"/>
    <n v="0"/>
    <n v="0.02"/>
    <n v="3"/>
    <n v="2"/>
    <n v="0"/>
    <n v="0"/>
    <n v="0"/>
    <n v="0"/>
    <n v="0"/>
    <n v="0"/>
    <n v="0"/>
    <n v="0"/>
    <n v="0"/>
    <n v="0"/>
    <n v="0"/>
    <n v="0"/>
    <n v="0"/>
    <n v="0"/>
    <n v="0"/>
    <n v="3"/>
    <s v="1,50"/>
    <s v="pas d'attribution"/>
    <n v="4"/>
  </r>
  <r>
    <n v="34188"/>
    <s v="Olmet-et-Villecun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89"/>
    <s v="Olonzac"/>
    <x v="8"/>
    <m/>
    <m/>
    <x v="3"/>
    <m/>
    <n v="0"/>
    <s v="pas d'attrib."/>
    <s v="pas d'attrib."/>
    <s v="pas d'attrib."/>
    <s v="pas d'attrib."/>
    <x v="33"/>
    <n v="1"/>
    <n v="1"/>
    <n v="0"/>
    <n v="0"/>
    <n v="0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90"/>
    <s v="Oupia"/>
    <x v="8"/>
    <m/>
    <m/>
    <x v="3"/>
    <m/>
    <n v="7"/>
    <s v="pas d'attrib."/>
    <s v="pas d'attrib."/>
    <n v="0.66666666699999999"/>
    <s v="pas d'attrib."/>
    <x v="33"/>
    <n v="1"/>
    <n v="2"/>
    <n v="0"/>
    <n v="0"/>
    <n v="2"/>
    <n v="5"/>
    <n v="0"/>
    <n v="0"/>
    <n v="14.2857"/>
    <n v="28.571400000000001"/>
    <n v="0.06"/>
    <n v="1"/>
    <n v="2"/>
    <n v="3"/>
    <n v="3"/>
    <n v="0"/>
    <n v="0"/>
    <n v="0"/>
    <n v="0"/>
    <n v="0"/>
    <n v="0"/>
    <n v="0"/>
    <n v="0"/>
    <n v="0"/>
    <n v="0"/>
    <n v="0"/>
    <n v="0"/>
    <n v="0"/>
    <n v="3"/>
    <s v="0,50"/>
    <s v="1,00"/>
    <n v="3"/>
  </r>
  <r>
    <n v="34191"/>
    <s v="Pailhès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192"/>
    <s v="Palavas-les-Flots"/>
    <x v="16"/>
    <m/>
    <m/>
    <x v="3"/>
    <m/>
    <n v="331"/>
    <n v="27"/>
    <n v="28"/>
    <n v="47.5"/>
    <n v="12"/>
    <x v="22"/>
    <n v="112"/>
    <n v="95"/>
    <n v="36"/>
    <n v="15"/>
    <n v="86"/>
    <n v="157"/>
    <n v="65"/>
    <n v="8"/>
    <n v="0"/>
    <n v="4.2683"/>
    <n v="0.1"/>
    <n v="338"/>
    <n v="11"/>
    <n v="298"/>
    <n v="10"/>
    <n v="0"/>
    <n v="0"/>
    <n v="0"/>
    <n v="0"/>
    <n v="0"/>
    <n v="0"/>
    <n v="0"/>
    <n v="0"/>
    <n v="0"/>
    <n v="0"/>
    <n v="0"/>
    <n v="0"/>
    <n v="0"/>
    <n v="3"/>
    <s v="30,73"/>
    <s v="29,80"/>
    <n v="1"/>
  </r>
  <r>
    <n v="34193"/>
    <s v="Pardailhan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94"/>
    <s v="Paulhan"/>
    <x v="12"/>
    <m/>
    <m/>
    <x v="3"/>
    <m/>
    <n v="113"/>
    <s v="pas d'attrib."/>
    <n v="16"/>
    <n v="13"/>
    <n v="3.5"/>
    <x v="8"/>
    <n v="16"/>
    <n v="26"/>
    <n v="14"/>
    <n v="0"/>
    <n v="8"/>
    <n v="25"/>
    <n v="56"/>
    <n v="24"/>
    <n v="3.7736000000000001"/>
    <n v="5.6604000000000001"/>
    <n v="7.0000000000000007E-2"/>
    <n v="48"/>
    <n v="6"/>
    <n v="61"/>
    <n v="7"/>
    <n v="0"/>
    <n v="0"/>
    <n v="0"/>
    <n v="0"/>
    <n v="0"/>
    <n v="0"/>
    <n v="0"/>
    <n v="0"/>
    <n v="0"/>
    <n v="0"/>
    <n v="0"/>
    <n v="0"/>
    <n v="0"/>
    <n v="3"/>
    <s v="8,00"/>
    <s v="8,71"/>
    <n v="2"/>
  </r>
  <r>
    <n v="34195"/>
    <s v="Pégairolles-de-Buèg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96"/>
    <s v="Pégairolles-de-l'Escalette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197"/>
    <s v="Péret"/>
    <x v="12"/>
    <m/>
    <m/>
    <x v="3"/>
    <m/>
    <n v="12"/>
    <s v="pas d'attrib."/>
    <s v="pas d'attrib."/>
    <n v="1.5"/>
    <n v="3"/>
    <x v="31"/>
    <n v="1"/>
    <n v="6"/>
    <n v="3"/>
    <n v="0"/>
    <n v="0"/>
    <n v="5"/>
    <n v="6"/>
    <n v="1"/>
    <n v="0"/>
    <n v="25"/>
    <n v="0.03"/>
    <n v="14"/>
    <n v="2"/>
    <n v="12"/>
    <n v="5"/>
    <n v="0"/>
    <n v="2"/>
    <n v="0"/>
    <n v="0"/>
    <n v="0"/>
    <n v="0"/>
    <n v="0"/>
    <n v="0"/>
    <n v="0"/>
    <n v="0"/>
    <n v="0"/>
    <n v="3"/>
    <n v="0"/>
    <n v="3"/>
    <s v="7,00"/>
    <s v="2,40"/>
    <n v="3"/>
  </r>
  <r>
    <n v="34200"/>
    <s v="Pézènes-les-Mines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01"/>
    <s v="Pierrerue"/>
    <x v="13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03"/>
    <s v="Pinet"/>
    <x v="2"/>
    <m/>
    <m/>
    <x v="3"/>
    <m/>
    <n v="48"/>
    <s v="pas d'attrib."/>
    <n v="1.5"/>
    <n v="1.4"/>
    <s v="pas d'attrib."/>
    <x v="8"/>
    <n v="6"/>
    <n v="7"/>
    <n v="6"/>
    <n v="0"/>
    <n v="7"/>
    <n v="28"/>
    <n v="12"/>
    <n v="1"/>
    <n v="0"/>
    <n v="4.8780000000000001"/>
    <n v="0.06"/>
    <n v="32"/>
    <n v="6"/>
    <n v="26"/>
    <n v="9"/>
    <n v="0"/>
    <n v="0"/>
    <n v="0"/>
    <n v="0"/>
    <n v="0"/>
    <n v="0"/>
    <n v="0"/>
    <n v="0"/>
    <n v="0"/>
    <n v="0"/>
    <n v="0"/>
    <n v="0"/>
    <n v="0"/>
    <n v="3"/>
    <s v="5,33"/>
    <s v="2,89"/>
    <n v="3"/>
  </r>
  <r>
    <n v="34204"/>
    <s v="Plaissan"/>
    <x v="11"/>
    <m/>
    <m/>
    <x v="3"/>
    <m/>
    <n v="19"/>
    <s v="pas d'attrib."/>
    <s v="pas d'attrib."/>
    <n v="9"/>
    <s v="pas d'attrib."/>
    <x v="33"/>
    <n v="7"/>
    <n v="9"/>
    <n v="4"/>
    <n v="0"/>
    <n v="2"/>
    <n v="8"/>
    <n v="7"/>
    <n v="2"/>
    <n v="0"/>
    <n v="5.2632000000000003"/>
    <n v="0.04"/>
    <n v="18"/>
    <n v="5"/>
    <n v="22"/>
    <n v="1"/>
    <n v="0"/>
    <n v="4"/>
    <n v="0"/>
    <n v="0"/>
    <n v="0"/>
    <n v="0"/>
    <n v="0"/>
    <n v="0"/>
    <n v="0"/>
    <n v="0"/>
    <n v="0"/>
    <n v="7"/>
    <n v="0"/>
    <n v="3"/>
    <s v="3,60"/>
    <s v="22,00"/>
    <n v="3"/>
  </r>
  <r>
    <n v="34205"/>
    <s v="Les Plan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06"/>
    <s v="Poilhes"/>
    <x v="13"/>
    <m/>
    <m/>
    <x v="3"/>
    <m/>
    <n v="7"/>
    <s v="pas d'attrib."/>
    <s v="pas d'attrib."/>
    <s v="pas d'attrib."/>
    <s v="pas d'attrib."/>
    <x v="33"/>
    <n v="0"/>
    <n v="2"/>
    <n v="0"/>
    <n v="1"/>
    <n v="1"/>
    <n v="4"/>
    <n v="1"/>
    <n v="0"/>
    <n v="28.571400000000001"/>
    <n v="0"/>
    <n v="0.03"/>
    <n v="4"/>
    <n v="0"/>
    <n v="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07"/>
    <s v="Pomérols"/>
    <x v="2"/>
    <m/>
    <m/>
    <x v="3"/>
    <m/>
    <n v="7"/>
    <s v="pas d'attrib."/>
    <s v="pas d'attrib."/>
    <s v="pas d'attrib."/>
    <s v="pas d'attrib."/>
    <x v="33"/>
    <n v="0"/>
    <n v="8"/>
    <n v="2"/>
    <n v="0"/>
    <n v="2"/>
    <n v="5"/>
    <n v="0"/>
    <n v="0"/>
    <n v="0"/>
    <n v="0"/>
    <n v="0.01"/>
    <n v="12"/>
    <n v="1"/>
    <n v="12"/>
    <n v="0"/>
    <n v="0"/>
    <n v="12"/>
    <n v="0"/>
    <n v="0"/>
    <n v="0"/>
    <n v="0"/>
    <n v="0"/>
    <n v="0"/>
    <n v="0"/>
    <n v="46"/>
    <n v="0"/>
    <n v="24"/>
    <n v="0"/>
    <n v="3"/>
    <s v="12,00"/>
    <s v="pas d'attribution"/>
    <n v="2"/>
  </r>
  <r>
    <n v="34208"/>
    <s v="Popian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09"/>
    <s v="Portiragnes"/>
    <x v="2"/>
    <m/>
    <m/>
    <x v="3"/>
    <m/>
    <n v="106"/>
    <s v="pas d'attrib."/>
    <s v="pas d'attrib."/>
    <n v="3.8"/>
    <n v="1.75"/>
    <x v="20"/>
    <n v="17"/>
    <n v="19"/>
    <n v="7"/>
    <n v="0"/>
    <n v="3"/>
    <n v="60"/>
    <n v="39"/>
    <n v="4"/>
    <n v="0"/>
    <n v="4.9504999999999999"/>
    <n v="7.0000000000000007E-2"/>
    <n v="60"/>
    <n v="7"/>
    <n v="54"/>
    <n v="9"/>
    <n v="0"/>
    <n v="2"/>
    <n v="0"/>
    <n v="0"/>
    <n v="0"/>
    <n v="0"/>
    <n v="0"/>
    <n v="0"/>
    <n v="0"/>
    <n v="0"/>
    <n v="0"/>
    <n v="3"/>
    <n v="0"/>
    <n v="3"/>
    <s v="8,57"/>
    <s v="6,00"/>
    <n v="1"/>
  </r>
  <r>
    <n v="34210"/>
    <s v="Le Pouget"/>
    <x v="11"/>
    <m/>
    <m/>
    <x v="3"/>
    <m/>
    <n v="26"/>
    <s v="pas d'attrib."/>
    <s v="pas d'attrib."/>
    <s v="pas d'attrib."/>
    <n v="2"/>
    <x v="34"/>
    <n v="4"/>
    <n v="2"/>
    <n v="2"/>
    <n v="0"/>
    <n v="5"/>
    <n v="8"/>
    <n v="13"/>
    <n v="0"/>
    <n v="0"/>
    <n v="3.8462000000000001"/>
    <n v="0.03"/>
    <n v="17"/>
    <n v="1"/>
    <n v="11"/>
    <n v="1"/>
    <n v="0"/>
    <n v="0"/>
    <n v="0"/>
    <n v="0"/>
    <n v="0"/>
    <n v="0"/>
    <n v="0"/>
    <n v="0"/>
    <n v="0"/>
    <n v="0"/>
    <n v="0"/>
    <n v="0"/>
    <n v="0"/>
    <n v="3"/>
    <s v="17,00"/>
    <s v="11,00"/>
    <n v="3"/>
  </r>
  <r>
    <n v="34211"/>
    <s v="Le Poujol-sur-Orb"/>
    <x v="10"/>
    <m/>
    <m/>
    <x v="3"/>
    <m/>
    <n v="16"/>
    <s v="pas d'attrib."/>
    <s v="pas d'attrib."/>
    <n v="1"/>
    <s v="pas d'attrib."/>
    <x v="34"/>
    <n v="3"/>
    <n v="2"/>
    <n v="0"/>
    <n v="0"/>
    <n v="1"/>
    <n v="7"/>
    <n v="8"/>
    <n v="0"/>
    <n v="0"/>
    <n v="13.333299999999999"/>
    <n v="0.03"/>
    <n v="11"/>
    <n v="2"/>
    <n v="7"/>
    <n v="2"/>
    <n v="0"/>
    <n v="4"/>
    <n v="0"/>
    <n v="0"/>
    <n v="0"/>
    <n v="0"/>
    <n v="0"/>
    <n v="0"/>
    <n v="0"/>
    <n v="0"/>
    <n v="0"/>
    <n v="8"/>
    <n v="0"/>
    <n v="3"/>
    <s v="5,50"/>
    <s v="3,50"/>
    <n v="3"/>
  </r>
  <r>
    <n v="34212"/>
    <s v="Poujols"/>
    <x v="14"/>
    <m/>
    <m/>
    <x v="3"/>
    <m/>
    <n v="0"/>
    <s v="pas d'attrib."/>
    <s v="pas d'attrib."/>
    <s v="pas d'attrib."/>
    <s v="pas d'attrib."/>
    <x v="33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14"/>
    <s v="Pouzolles"/>
    <x v="7"/>
    <m/>
    <m/>
    <x v="3"/>
    <m/>
    <n v="4"/>
    <s v="pas d'attrib."/>
    <n v="2"/>
    <n v="2"/>
    <s v="pas d'attrib."/>
    <x v="33"/>
    <n v="2"/>
    <n v="2"/>
    <n v="1"/>
    <n v="0"/>
    <n v="2"/>
    <n v="2"/>
    <n v="0"/>
    <n v="0"/>
    <n v="0"/>
    <n v="33.333300000000001"/>
    <n v="0.01"/>
    <n v="0"/>
    <n v="0"/>
    <n v="5"/>
    <n v="2"/>
    <n v="0"/>
    <n v="0"/>
    <n v="0"/>
    <n v="0"/>
    <n v="0"/>
    <n v="0"/>
    <n v="0"/>
    <n v="0"/>
    <n v="0"/>
    <n v="0"/>
    <n v="0"/>
    <n v="1"/>
    <n v="0"/>
    <n v="3"/>
    <s v="pas d'attribution"/>
    <s v="2,50"/>
    <n v="3"/>
  </r>
  <r>
    <n v="34215"/>
    <s v="Pouzols"/>
    <x v="11"/>
    <m/>
    <m/>
    <x v="3"/>
    <m/>
    <n v="10"/>
    <s v="pas d'attrib."/>
    <s v="pas d'attrib."/>
    <s v="pas d'attrib."/>
    <s v="pas d'attrib."/>
    <x v="33"/>
    <n v="0"/>
    <n v="0"/>
    <n v="1"/>
    <n v="0"/>
    <n v="0"/>
    <n v="4"/>
    <n v="6"/>
    <n v="0"/>
    <n v="0"/>
    <n v="0"/>
    <n v="0.03"/>
    <n v="7"/>
    <n v="1"/>
    <n v="1"/>
    <n v="0"/>
    <n v="0"/>
    <n v="0"/>
    <n v="0"/>
    <n v="0"/>
    <n v="0"/>
    <n v="0"/>
    <n v="0"/>
    <n v="0"/>
    <n v="0"/>
    <n v="0"/>
    <n v="0"/>
    <n v="0"/>
    <n v="0"/>
    <n v="3"/>
    <s v="7,00"/>
    <s v="pas d'attribution"/>
    <n v="2"/>
  </r>
  <r>
    <n v="34216"/>
    <s v="Le Pradal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18"/>
    <s v="Prades-sur-Vernazobre"/>
    <x v="13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19"/>
    <s v="Prémian"/>
    <x v="8"/>
    <m/>
    <m/>
    <x v="3"/>
    <m/>
    <n v="12"/>
    <s v="pas d'attrib."/>
    <s v="pas d'attrib."/>
    <s v="pas d'attrib."/>
    <s v="pas d'attrib."/>
    <x v="33"/>
    <n v="3"/>
    <n v="0"/>
    <n v="0"/>
    <n v="0"/>
    <n v="0"/>
    <n v="7"/>
    <n v="5"/>
    <n v="0"/>
    <n v="18.181799999999999"/>
    <n v="9.0908999999999995"/>
    <n v="0.04"/>
    <n v="2"/>
    <n v="2"/>
    <n v="3"/>
    <n v="0"/>
    <n v="0"/>
    <n v="0"/>
    <n v="0"/>
    <n v="0"/>
    <n v="0"/>
    <n v="0"/>
    <n v="0"/>
    <n v="0"/>
    <n v="0"/>
    <n v="0"/>
    <n v="0"/>
    <n v="0"/>
    <n v="0"/>
    <n v="3"/>
    <s v="1,00"/>
    <s v="pas d'attribution"/>
    <n v="4"/>
  </r>
  <r>
    <n v="34220"/>
    <s v="Le Puech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21"/>
    <s v="Puéchabon"/>
    <x v="11"/>
    <m/>
    <m/>
    <x v="3"/>
    <m/>
    <n v="0"/>
    <s v="pas d'attrib."/>
    <s v="pas d'attrib."/>
    <s v="pas d'attrib."/>
    <s v="pas d'attrib."/>
    <x v="33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22"/>
    <s v="Puilacher"/>
    <x v="11"/>
    <m/>
    <m/>
    <x v="3"/>
    <m/>
    <n v="0"/>
    <s v="pas d'attrib."/>
    <s v="pas d'attrib."/>
    <s v="pas d'attrib."/>
    <s v="pas d'attrib."/>
    <x v="33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23"/>
    <s v="Puimisson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24"/>
    <s v="Puissalicon"/>
    <x v="7"/>
    <m/>
    <m/>
    <x v="3"/>
    <m/>
    <n v="0"/>
    <s v="pas d'attrib."/>
    <s v="pas d'attrib."/>
    <s v="pas d'attrib."/>
    <s v="pas d'attrib."/>
    <x v="33"/>
    <n v="1"/>
    <n v="1"/>
    <n v="0"/>
    <n v="0"/>
    <n v="0"/>
    <n v="0"/>
    <n v="0"/>
    <n v="0"/>
    <n v="0"/>
    <n v="0"/>
    <n v="0"/>
    <n v="2"/>
    <n v="0"/>
    <n v="2"/>
    <n v="0"/>
    <n v="0"/>
    <n v="3"/>
    <n v="0"/>
    <n v="0"/>
    <n v="0"/>
    <n v="0"/>
    <n v="0"/>
    <n v="0"/>
    <n v="0"/>
    <n v="0"/>
    <n v="0"/>
    <n v="7"/>
    <n v="0"/>
    <n v="3"/>
    <s v="pas d'attribution"/>
    <s v="pas d'attribution"/>
    <n v="3"/>
  </r>
  <r>
    <n v="34225"/>
    <s v="Puisserguier"/>
    <x v="13"/>
    <m/>
    <m/>
    <x v="3"/>
    <m/>
    <n v="16"/>
    <s v="pas d'attrib."/>
    <s v="pas d'attrib."/>
    <s v="pas d'attrib."/>
    <n v="4"/>
    <x v="31"/>
    <n v="4"/>
    <n v="7"/>
    <n v="4"/>
    <n v="0"/>
    <n v="2"/>
    <n v="8"/>
    <n v="6"/>
    <n v="0"/>
    <n v="0"/>
    <n v="6.25"/>
    <n v="0.01"/>
    <n v="22"/>
    <n v="0"/>
    <n v="19"/>
    <n v="1"/>
    <n v="0"/>
    <n v="0"/>
    <n v="0"/>
    <n v="0"/>
    <n v="0"/>
    <n v="0"/>
    <n v="0"/>
    <n v="0"/>
    <n v="0"/>
    <n v="0"/>
    <n v="0"/>
    <n v="0"/>
    <n v="0"/>
    <n v="3"/>
    <s v="pas d'attribution"/>
    <s v="19,00"/>
    <n v="3"/>
  </r>
  <r>
    <n v="34226"/>
    <s v="Quarante"/>
    <x v="13"/>
    <m/>
    <m/>
    <x v="3"/>
    <m/>
    <n v="10"/>
    <s v="pas d'attrib."/>
    <s v="pas d'attrib."/>
    <n v="4"/>
    <n v="0.5"/>
    <x v="33"/>
    <n v="2"/>
    <n v="4"/>
    <n v="1"/>
    <n v="0"/>
    <n v="2"/>
    <n v="6"/>
    <n v="2"/>
    <n v="0"/>
    <n v="0"/>
    <n v="30"/>
    <n v="0.01"/>
    <n v="4"/>
    <n v="1"/>
    <n v="7"/>
    <n v="3"/>
    <n v="0"/>
    <n v="0"/>
    <n v="0"/>
    <n v="0"/>
    <n v="0"/>
    <n v="0"/>
    <n v="0"/>
    <n v="0"/>
    <n v="0"/>
    <n v="0"/>
    <n v="0"/>
    <n v="0"/>
    <n v="0"/>
    <n v="3"/>
    <s v="4,00"/>
    <s v="2,33"/>
    <n v="4"/>
  </r>
  <r>
    <n v="34227"/>
    <s v="Restinclières"/>
    <x v="3"/>
    <m/>
    <m/>
    <x v="3"/>
    <m/>
    <n v="53"/>
    <s v="pas d'attrib."/>
    <s v="pas d'attrib."/>
    <n v="10"/>
    <n v="1"/>
    <x v="31"/>
    <n v="9"/>
    <n v="10"/>
    <n v="2"/>
    <n v="0"/>
    <n v="5"/>
    <n v="21"/>
    <n v="27"/>
    <n v="0"/>
    <n v="1.8868"/>
    <n v="5.6604000000000001"/>
    <n v="7.0000000000000007E-2"/>
    <n v="28"/>
    <n v="5"/>
    <n v="26"/>
    <n v="3"/>
    <n v="0"/>
    <n v="8"/>
    <n v="0"/>
    <n v="0"/>
    <n v="0"/>
    <n v="0"/>
    <n v="0"/>
    <n v="0"/>
    <n v="0"/>
    <n v="0"/>
    <n v="0"/>
    <n v="16"/>
    <n v="0"/>
    <n v="3"/>
    <s v="5,60"/>
    <s v="8,67"/>
    <n v="2"/>
  </r>
  <r>
    <n v="34228"/>
    <s v="Rieussec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29"/>
    <s v="Riol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30"/>
    <s v="Les Rive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31"/>
    <s v="Romiguière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32"/>
    <s v="Roquebrun"/>
    <x v="8"/>
    <m/>
    <m/>
    <x v="3"/>
    <m/>
    <n v="8"/>
    <s v="pas d'attrib."/>
    <s v="pas d'attrib."/>
    <s v="pas d'attrib."/>
    <s v="pas d'attrib."/>
    <x v="32"/>
    <m/>
    <m/>
    <m/>
    <n v="0"/>
    <n v="2"/>
    <n v="3"/>
    <n v="3"/>
    <n v="0"/>
    <n v="0"/>
    <n v="0"/>
    <n v="0.02"/>
    <n v="0"/>
    <n v="2"/>
    <n v="0"/>
    <n v="0"/>
    <n v="0"/>
    <n v="0"/>
    <n v="0"/>
    <n v="0"/>
    <n v="0"/>
    <n v="0"/>
    <n v="0"/>
    <n v="0"/>
    <n v="0"/>
    <n v="0"/>
    <n v="0"/>
    <n v="0"/>
    <n v="0"/>
    <n v="3"/>
    <s v="0,00"/>
    <s v="pas d'attribution"/>
    <n v="4"/>
  </r>
  <r>
    <n v="34233"/>
    <s v="Roqueredonde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34"/>
    <s v="Roquessels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35"/>
    <s v="Rosis"/>
    <x v="15"/>
    <m/>
    <m/>
    <x v="3"/>
    <m/>
    <n v="4"/>
    <s v="pas d'attrib."/>
    <n v="1"/>
    <s v="pas d'attrib."/>
    <n v="0"/>
    <x v="31"/>
    <n v="1"/>
    <n v="0"/>
    <n v="0"/>
    <n v="0"/>
    <n v="2"/>
    <n v="1"/>
    <n v="1"/>
    <n v="0"/>
    <n v="0"/>
    <n v="50"/>
    <n v="0.03"/>
    <n v="0"/>
    <n v="2"/>
    <n v="2"/>
    <n v="2"/>
    <n v="0"/>
    <n v="0"/>
    <n v="0"/>
    <n v="0"/>
    <n v="0"/>
    <n v="0"/>
    <n v="0"/>
    <n v="0"/>
    <n v="0"/>
    <n v="0"/>
    <n v="0"/>
    <n v="0"/>
    <n v="0"/>
    <n v="3"/>
    <s v="0,00"/>
    <s v="1,00"/>
    <n v="4"/>
  </r>
  <r>
    <n v="34236"/>
    <s v="Rouet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37"/>
    <s v="Roujan"/>
    <x v="7"/>
    <m/>
    <m/>
    <x v="3"/>
    <m/>
    <n v="44"/>
    <s v="pas d'attrib."/>
    <n v="10"/>
    <n v="5"/>
    <s v="pas d'attrib."/>
    <x v="31"/>
    <n v="10"/>
    <n v="5"/>
    <n v="11"/>
    <n v="0"/>
    <n v="6"/>
    <n v="22"/>
    <n v="15"/>
    <n v="1"/>
    <n v="0"/>
    <n v="4.6512000000000002"/>
    <n v="0.04"/>
    <n v="24"/>
    <n v="2"/>
    <n v="28"/>
    <n v="2"/>
    <n v="0"/>
    <n v="0"/>
    <n v="0"/>
    <n v="0"/>
    <n v="0"/>
    <n v="0"/>
    <n v="0"/>
    <n v="0"/>
    <n v="0"/>
    <n v="0"/>
    <n v="0"/>
    <n v="0"/>
    <n v="0"/>
    <n v="3"/>
    <s v="12,00"/>
    <s v="14,00"/>
    <n v="3"/>
  </r>
  <r>
    <n v="34238"/>
    <s v="Saint-André-de-Buèg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39"/>
    <s v="Saint-André-de-Sangonis"/>
    <x v="11"/>
    <m/>
    <m/>
    <x v="3"/>
    <m/>
    <n v="143"/>
    <s v="pas d'attrib."/>
    <n v="15"/>
    <n v="9"/>
    <n v="6.6666666670000003"/>
    <x v="8"/>
    <n v="30"/>
    <n v="18"/>
    <n v="20"/>
    <n v="0"/>
    <n v="26"/>
    <n v="55"/>
    <n v="47"/>
    <n v="15"/>
    <n v="0.73529999999999995"/>
    <n v="6.6176000000000004"/>
    <n v="0.06"/>
    <n v="75"/>
    <n v="14"/>
    <n v="78"/>
    <n v="7"/>
    <n v="0"/>
    <n v="13"/>
    <n v="0"/>
    <n v="0"/>
    <n v="0"/>
    <n v="0"/>
    <n v="0"/>
    <n v="0"/>
    <n v="0"/>
    <n v="0"/>
    <n v="0"/>
    <n v="24"/>
    <n v="0"/>
    <n v="3"/>
    <s v="5,36"/>
    <s v="11,14"/>
    <n v="2"/>
  </r>
  <r>
    <n v="34240"/>
    <s v="Saint-Aunès"/>
    <x v="16"/>
    <m/>
    <m/>
    <x v="3"/>
    <m/>
    <n v="103"/>
    <s v="pas d'attrib."/>
    <n v="7"/>
    <n v="5.25"/>
    <n v="19"/>
    <x v="20"/>
    <n v="28"/>
    <n v="21"/>
    <n v="19"/>
    <n v="0"/>
    <n v="25"/>
    <n v="59"/>
    <n v="14"/>
    <n v="5"/>
    <n v="0"/>
    <n v="8.7378999999999998"/>
    <n v="7.0000000000000007E-2"/>
    <n v="92"/>
    <n v="7"/>
    <n v="86"/>
    <n v="9"/>
    <n v="0"/>
    <n v="29"/>
    <n v="0"/>
    <n v="0"/>
    <n v="0"/>
    <n v="0"/>
    <n v="0"/>
    <n v="0"/>
    <n v="0"/>
    <n v="8"/>
    <n v="0"/>
    <n v="45"/>
    <n v="11"/>
    <n v="3"/>
    <s v="13,14"/>
    <s v="9,56"/>
    <n v="1"/>
  </r>
  <r>
    <n v="34241"/>
    <s v="Saint-Bauzille-de-la-Sylve"/>
    <x v="11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42"/>
    <s v="Saint-Bauzille-de-Montmel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243"/>
    <s v="Saint-Bauzille-de-Putois"/>
    <x v="9"/>
    <m/>
    <m/>
    <x v="3"/>
    <m/>
    <n v="0"/>
    <s v="pas d'attrib."/>
    <s v="pas d'attrib."/>
    <s v="pas d'attrib."/>
    <s v="pas d'attrib."/>
    <x v="33"/>
    <n v="0"/>
    <n v="1"/>
    <n v="4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44"/>
    <s v="Saint-Brès"/>
    <x v="3"/>
    <m/>
    <m/>
    <x v="3"/>
    <m/>
    <n v="212"/>
    <s v="pas d'attrib."/>
    <n v="14"/>
    <n v="3.363636364"/>
    <n v="5.25"/>
    <x v="27"/>
    <n v="28"/>
    <n v="37"/>
    <n v="21"/>
    <n v="0"/>
    <n v="35"/>
    <n v="108"/>
    <n v="67"/>
    <n v="2"/>
    <n v="0"/>
    <n v="8.4906000000000006"/>
    <n v="0.16"/>
    <n v="103"/>
    <n v="15"/>
    <n v="102"/>
    <n v="17"/>
    <n v="0"/>
    <n v="33"/>
    <n v="0"/>
    <n v="0"/>
    <n v="0"/>
    <n v="0"/>
    <n v="0"/>
    <n v="0"/>
    <n v="0"/>
    <n v="0"/>
    <n v="52"/>
    <n v="59"/>
    <n v="0"/>
    <n v="3"/>
    <s v="6,87"/>
    <s v="6,00"/>
    <n v="1"/>
  </r>
  <r>
    <n v="34245"/>
    <s v="Saint-Chinian"/>
    <x v="13"/>
    <m/>
    <m/>
    <x v="3"/>
    <m/>
    <n v="42"/>
    <s v="pas d'attrib."/>
    <s v="pas d'attrib."/>
    <n v="6"/>
    <n v="1.6666666670000001"/>
    <x v="33"/>
    <n v="4"/>
    <n v="12"/>
    <n v="5"/>
    <n v="0"/>
    <n v="0"/>
    <n v="12"/>
    <n v="28"/>
    <n v="2"/>
    <n v="0"/>
    <n v="11.9048"/>
    <n v="0.05"/>
    <n v="25"/>
    <n v="3"/>
    <n v="23"/>
    <n v="5"/>
    <n v="0"/>
    <n v="7"/>
    <n v="0"/>
    <n v="0"/>
    <n v="0"/>
    <n v="0"/>
    <n v="0"/>
    <n v="0"/>
    <n v="0"/>
    <n v="0"/>
    <n v="0"/>
    <n v="11"/>
    <n v="0"/>
    <n v="3"/>
    <s v="8,33"/>
    <s v="4,60"/>
    <n v="4"/>
  </r>
  <r>
    <n v="34246"/>
    <s v="Entre-Vignes"/>
    <x v="0"/>
    <m/>
    <m/>
    <x v="3"/>
    <m/>
    <n v="0"/>
    <s v="pas d'attrib."/>
    <s v="pas d'attrib."/>
    <s v="pas d'attrib."/>
    <s v="pas d'attrib."/>
    <x v="33"/>
    <n v="3"/>
    <n v="4"/>
    <n v="2"/>
    <n v="0"/>
    <n v="0"/>
    <n v="0"/>
    <n v="0"/>
    <n v="0"/>
    <n v="0"/>
    <n v="0"/>
    <n v="0"/>
    <n v="10"/>
    <n v="0"/>
    <n v="1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48"/>
    <s v="Sainte-Croix-de-Quintillargues"/>
    <x v="6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49"/>
    <s v="Saint-Drézéry"/>
    <x v="3"/>
    <m/>
    <m/>
    <x v="3"/>
    <m/>
    <n v="41"/>
    <s v="pas d'attrib."/>
    <n v="5.5"/>
    <n v="4"/>
    <s v="pas d'attrib."/>
    <x v="34"/>
    <n v="11"/>
    <n v="8"/>
    <n v="6"/>
    <n v="0"/>
    <n v="6"/>
    <n v="19"/>
    <n v="16"/>
    <n v="0"/>
    <n v="0"/>
    <n v="10"/>
    <n v="0.04"/>
    <n v="30"/>
    <n v="18"/>
    <n v="33"/>
    <n v="4"/>
    <n v="0"/>
    <n v="9"/>
    <n v="0"/>
    <n v="0"/>
    <n v="0"/>
    <n v="0"/>
    <n v="0"/>
    <n v="0"/>
    <n v="0"/>
    <n v="2"/>
    <n v="0"/>
    <n v="14"/>
    <n v="0"/>
    <n v="3"/>
    <s v="1,67"/>
    <s v="8,25"/>
    <n v="1"/>
  </r>
  <r>
    <n v="34250"/>
    <s v="Saint-Étienne-d'Albagnan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51"/>
    <s v="Saint-Étienne-de-Gourga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52"/>
    <s v="Saint-Étienne-Estréchoux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53"/>
    <s v="Saint-Félix-de-l'Héra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54"/>
    <s v="Saint-Félix-de-Lodez"/>
    <x v="12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256"/>
    <s v="Saint-Geniès-des-Mourgues"/>
    <x v="3"/>
    <m/>
    <m/>
    <x v="3"/>
    <m/>
    <n v="92"/>
    <s v="pas d'attrib."/>
    <s v="pas d'attrib."/>
    <s v="pas d'attrib."/>
    <n v="2"/>
    <x v="34"/>
    <n v="3"/>
    <n v="15"/>
    <n v="4"/>
    <n v="0"/>
    <n v="7"/>
    <n v="56"/>
    <n v="25"/>
    <n v="4"/>
    <n v="0"/>
    <n v="2.1739000000000002"/>
    <n v="0.11"/>
    <n v="24"/>
    <n v="2"/>
    <n v="26"/>
    <n v="2"/>
    <n v="0"/>
    <n v="0"/>
    <n v="0"/>
    <n v="0"/>
    <n v="0"/>
    <n v="0"/>
    <n v="0"/>
    <n v="0"/>
    <n v="0"/>
    <n v="0"/>
    <n v="0"/>
    <n v="0"/>
    <n v="0"/>
    <n v="3"/>
    <s v="12,00"/>
    <s v="13,00"/>
    <n v="1"/>
  </r>
  <r>
    <n v="34257"/>
    <s v="Saint-Geniès-de-Varensal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58"/>
    <s v="Saint-Geniès-de-Fontedit"/>
    <x v="7"/>
    <m/>
    <m/>
    <x v="3"/>
    <m/>
    <n v="5"/>
    <s v="pas d'attrib."/>
    <s v="pas d'attrib."/>
    <s v="pas d'attrib."/>
    <s v="pas d'attrib."/>
    <x v="31"/>
    <n v="0"/>
    <n v="2"/>
    <n v="0"/>
    <n v="0"/>
    <n v="0"/>
    <n v="5"/>
    <n v="0"/>
    <n v="0"/>
    <n v="0"/>
    <n v="0"/>
    <n v="0.01"/>
    <n v="3"/>
    <n v="1"/>
    <n v="3"/>
    <n v="0"/>
    <n v="0"/>
    <n v="0"/>
    <n v="0"/>
    <n v="0"/>
    <n v="0"/>
    <n v="0"/>
    <n v="0"/>
    <n v="0"/>
    <n v="0"/>
    <n v="0"/>
    <n v="0"/>
    <n v="0"/>
    <n v="0"/>
    <n v="3"/>
    <s v="3,00"/>
    <s v="pas d'attribution"/>
    <n v="3"/>
  </r>
  <r>
    <n v="34260"/>
    <s v="Saint-Gervais-sur-Mare"/>
    <x v="10"/>
    <m/>
    <m/>
    <x v="3"/>
    <m/>
    <n v="22"/>
    <s v="pas d'attrib."/>
    <s v="pas d'attrib."/>
    <s v="pas d'attrib."/>
    <n v="3"/>
    <x v="33"/>
    <n v="4"/>
    <n v="4"/>
    <n v="3"/>
    <n v="0"/>
    <n v="1"/>
    <n v="5"/>
    <n v="15"/>
    <n v="1"/>
    <n v="0"/>
    <n v="9.0908999999999995"/>
    <n v="0.06"/>
    <n v="8"/>
    <n v="1"/>
    <n v="13"/>
    <n v="1"/>
    <n v="0"/>
    <n v="0"/>
    <n v="0"/>
    <n v="0"/>
    <n v="0"/>
    <n v="0"/>
    <n v="0"/>
    <n v="0"/>
    <n v="0"/>
    <n v="0"/>
    <n v="0"/>
    <n v="0"/>
    <n v="0"/>
    <n v="3"/>
    <s v="8,00"/>
    <s v="13,00"/>
    <n v="4"/>
  </r>
  <r>
    <n v="34261"/>
    <s v="Saint-Guilhem-le-Désert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62"/>
    <s v="Saint-Guiraud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63"/>
    <s v="Saint-Hilaire-de-Beauvoir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64"/>
    <s v="Saint-Jean-de-Buèges"/>
    <x v="6"/>
    <m/>
    <m/>
    <x v="3"/>
    <m/>
    <n v="5"/>
    <s v="pas d'attrib."/>
    <n v="2"/>
    <s v="pas d'attrib."/>
    <s v="pas d'attrib."/>
    <x v="31"/>
    <n v="2"/>
    <n v="1"/>
    <n v="0"/>
    <n v="0"/>
    <n v="1"/>
    <n v="3"/>
    <n v="1"/>
    <n v="0"/>
    <n v="0"/>
    <n v="20"/>
    <n v="0.05"/>
    <n v="4"/>
    <n v="1"/>
    <n v="4"/>
    <n v="1"/>
    <n v="0"/>
    <n v="0"/>
    <n v="0"/>
    <n v="0"/>
    <n v="0"/>
    <n v="0"/>
    <n v="0"/>
    <n v="0"/>
    <n v="0"/>
    <n v="0"/>
    <n v="0"/>
    <n v="0"/>
    <n v="0"/>
    <n v="3"/>
    <s v="4,00"/>
    <s v="4,00"/>
    <n v="3"/>
  </r>
  <r>
    <n v="34265"/>
    <s v="Saint-Jean-de-Cornies"/>
    <x v="6"/>
    <m/>
    <m/>
    <x v="3"/>
    <m/>
    <n v="12"/>
    <s v="pas d'attrib."/>
    <s v="pas d'attrib."/>
    <n v="2"/>
    <s v="pas d'attrib."/>
    <x v="33"/>
    <n v="1"/>
    <n v="2"/>
    <n v="0"/>
    <n v="0"/>
    <n v="0"/>
    <n v="6"/>
    <n v="6"/>
    <n v="0"/>
    <n v="0"/>
    <n v="8.3332999999999995"/>
    <n v="0.05"/>
    <n v="1"/>
    <n v="0"/>
    <n v="3"/>
    <n v="1"/>
    <n v="0"/>
    <n v="0"/>
    <n v="0"/>
    <n v="0"/>
    <n v="0"/>
    <n v="0"/>
    <n v="0"/>
    <n v="0"/>
    <n v="0"/>
    <n v="0"/>
    <n v="0"/>
    <n v="0"/>
    <n v="0"/>
    <n v="3"/>
    <s v="pas d'attribution"/>
    <s v="3,00"/>
    <n v="2"/>
  </r>
  <r>
    <n v="34266"/>
    <s v="Saint-Jean-de-Cucull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67"/>
    <s v="Saint-Jean-de-Fos"/>
    <x v="11"/>
    <m/>
    <m/>
    <x v="3"/>
    <m/>
    <n v="0"/>
    <s v="pas d'attrib."/>
    <s v="pas d'attrib."/>
    <s v="pas d'attrib."/>
    <s v="pas d'attrib."/>
    <x v="31"/>
    <n v="1"/>
    <n v="5"/>
    <n v="2"/>
    <n v="0"/>
    <n v="0"/>
    <n v="0"/>
    <n v="0"/>
    <n v="0"/>
    <n v="0"/>
    <n v="0"/>
    <n v="0"/>
    <n v="16"/>
    <n v="0"/>
    <n v="1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68"/>
    <s v="Saint-Jean-de-la-Blaquière"/>
    <x v="14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69"/>
    <s v="Saint-Jean-de-Minervoi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71"/>
    <s v="Saint-Julien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72"/>
    <s v="Saint-Just"/>
    <x v="0"/>
    <m/>
    <m/>
    <x v="3"/>
    <m/>
    <n v="108"/>
    <s v="pas d'attrib."/>
    <n v="5.5"/>
    <n v="9"/>
    <n v="9"/>
    <x v="4"/>
    <n v="11"/>
    <n v="18"/>
    <n v="9"/>
    <n v="0"/>
    <n v="15"/>
    <n v="50"/>
    <n v="43"/>
    <n v="0"/>
    <n v="0"/>
    <n v="4.6295999999999999"/>
    <n v="0.08"/>
    <n v="48"/>
    <n v="16"/>
    <n v="51"/>
    <n v="5"/>
    <n v="0"/>
    <n v="0"/>
    <n v="0"/>
    <n v="0"/>
    <n v="0"/>
    <n v="0"/>
    <n v="0"/>
    <n v="0"/>
    <n v="0"/>
    <n v="0"/>
    <n v="0"/>
    <n v="0"/>
    <n v="0"/>
    <n v="3"/>
    <s v="3,00"/>
    <s v="10,20"/>
    <n v="1"/>
  </r>
  <r>
    <n v="34273"/>
    <s v="Saint-Martin-de-l'Arçon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74"/>
    <s v="Saint-Martin-de-Londres"/>
    <x v="6"/>
    <m/>
    <m/>
    <x v="3"/>
    <m/>
    <n v="78"/>
    <s v="pas d'attrib."/>
    <n v="15"/>
    <n v="17"/>
    <n v="9"/>
    <x v="34"/>
    <n v="15"/>
    <n v="17"/>
    <n v="9"/>
    <n v="8"/>
    <n v="10"/>
    <n v="22"/>
    <n v="11"/>
    <n v="27"/>
    <n v="0"/>
    <n v="4"/>
    <n v="7.0000000000000007E-2"/>
    <n v="41"/>
    <n v="2"/>
    <n v="52"/>
    <n v="3"/>
    <n v="0"/>
    <n v="0"/>
    <n v="0"/>
    <n v="0"/>
    <n v="0"/>
    <n v="0"/>
    <n v="0"/>
    <n v="0"/>
    <n v="0"/>
    <n v="0"/>
    <n v="0"/>
    <n v="0"/>
    <n v="0"/>
    <n v="3"/>
    <s v="20,50"/>
    <s v="17,33"/>
    <n v="2"/>
  </r>
  <r>
    <n v="34276"/>
    <s v="Saint-Mathieu-de-Tréviers"/>
    <x v="6"/>
    <m/>
    <m/>
    <x v="3"/>
    <m/>
    <n v="321"/>
    <n v="2.5"/>
    <n v="17"/>
    <n v="2.9090909090000001"/>
    <n v="11.5"/>
    <x v="20"/>
    <n v="34"/>
    <n v="32"/>
    <n v="23"/>
    <n v="12"/>
    <n v="36"/>
    <n v="136"/>
    <n v="113"/>
    <n v="24"/>
    <n v="0"/>
    <n v="5.6782000000000004"/>
    <n v="0.17"/>
    <n v="105"/>
    <n v="27"/>
    <n v="106"/>
    <n v="17"/>
    <n v="0"/>
    <n v="0"/>
    <n v="0"/>
    <n v="0"/>
    <n v="0"/>
    <n v="0"/>
    <n v="0"/>
    <n v="0"/>
    <n v="0"/>
    <n v="0"/>
    <n v="0"/>
    <n v="0"/>
    <n v="0"/>
    <n v="3"/>
    <s v="3,89"/>
    <s v="6,24"/>
    <n v="2"/>
  </r>
  <r>
    <n v="34277"/>
    <s v="Saint-Maurice-Navacelles"/>
    <x v="14"/>
    <m/>
    <m/>
    <x v="3"/>
    <m/>
    <n v="0"/>
    <s v="pas d'attrib."/>
    <s v="pas d'attrib."/>
    <s v="pas d'attrib."/>
    <s v="pas d'attrib."/>
    <x v="3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78"/>
    <s v="Saint-Michel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79"/>
    <s v="Saint-Nazaire-de-Ladarez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80"/>
    <s v="Saint-Nazaire-de-Pézan"/>
    <x v="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1"/>
  </r>
  <r>
    <n v="34281"/>
    <s v="Saint-Pargoire"/>
    <x v="11"/>
    <m/>
    <m/>
    <x v="3"/>
    <m/>
    <n v="9"/>
    <s v="pas d'attrib."/>
    <n v="2"/>
    <n v="3"/>
    <s v="pas d'attrib."/>
    <x v="34"/>
    <n v="10"/>
    <n v="6"/>
    <n v="1"/>
    <n v="0"/>
    <n v="7"/>
    <n v="2"/>
    <n v="0"/>
    <n v="0"/>
    <n v="11.1111"/>
    <n v="0"/>
    <n v="0.01"/>
    <n v="6"/>
    <n v="0"/>
    <n v="19"/>
    <n v="7"/>
    <n v="0"/>
    <n v="0"/>
    <n v="0"/>
    <n v="0"/>
    <n v="0"/>
    <n v="0"/>
    <n v="0"/>
    <n v="0"/>
    <n v="0"/>
    <n v="0"/>
    <n v="0"/>
    <n v="0"/>
    <n v="0"/>
    <n v="3"/>
    <s v="pas d'attribution"/>
    <s v="2,71"/>
    <n v="3"/>
  </r>
  <r>
    <n v="34282"/>
    <s v="Saint-Paul-et-Valmalle"/>
    <x v="11"/>
    <m/>
    <m/>
    <x v="3"/>
    <m/>
    <n v="0"/>
    <s v="pas d'attrib."/>
    <s v="pas d'attrib."/>
    <s v="pas d'attrib."/>
    <s v="pas d'attrib."/>
    <x v="33"/>
    <n v="2"/>
    <n v="1"/>
    <n v="1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283"/>
    <s v="Saint-Pierre-de-la-Fage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84"/>
    <s v="Saint-Pons-de-Thomières"/>
    <x v="8"/>
    <m/>
    <m/>
    <x v="3"/>
    <m/>
    <n v="109"/>
    <s v="pas d'attrib."/>
    <n v="3.5"/>
    <n v="1"/>
    <n v="0.5"/>
    <x v="34"/>
    <n v="14"/>
    <n v="7"/>
    <n v="9"/>
    <n v="0"/>
    <n v="14"/>
    <n v="42"/>
    <n v="41"/>
    <n v="12"/>
    <n v="11.428599999999999"/>
    <n v="20.952400000000001"/>
    <n v="0.13"/>
    <n v="30"/>
    <n v="19"/>
    <n v="36"/>
    <n v="29"/>
    <n v="0"/>
    <n v="0"/>
    <n v="0"/>
    <n v="0"/>
    <n v="0"/>
    <n v="0"/>
    <n v="0"/>
    <n v="0"/>
    <n v="0"/>
    <n v="0"/>
    <n v="0"/>
    <n v="0"/>
    <n v="0"/>
    <n v="3"/>
    <s v="1,58"/>
    <s v="1,24"/>
    <n v="4"/>
  </r>
  <r>
    <n v="34285"/>
    <s v="Saint-Pons-de-Mauchiens"/>
    <x v="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86"/>
    <s v="Saint-Privat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87"/>
    <s v="Saint-Saturnin-de-Lucian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88"/>
    <s v="Saint-Sériès"/>
    <x v="0"/>
    <m/>
    <m/>
    <x v="3"/>
    <m/>
    <n v="18"/>
    <s v="pas d'attrib."/>
    <s v="pas d'attrib."/>
    <n v="1"/>
    <s v="pas d'attrib."/>
    <x v="33"/>
    <n v="1"/>
    <n v="1"/>
    <n v="0"/>
    <n v="0"/>
    <n v="10"/>
    <n v="8"/>
    <n v="0"/>
    <n v="0"/>
    <n v="0"/>
    <n v="5.5556000000000001"/>
    <n v="0.05"/>
    <n v="5"/>
    <n v="3"/>
    <n v="2"/>
    <n v="1"/>
    <n v="0"/>
    <n v="0"/>
    <n v="0"/>
    <n v="0"/>
    <n v="0"/>
    <n v="0"/>
    <n v="0"/>
    <n v="0"/>
    <n v="0"/>
    <n v="0"/>
    <n v="0"/>
    <n v="0"/>
    <n v="0"/>
    <n v="3"/>
    <s v="1,67"/>
    <s v="2,00"/>
    <n v="1"/>
  </r>
  <r>
    <n v="34289"/>
    <s v="Saint-Thibéry"/>
    <x v="2"/>
    <m/>
    <m/>
    <x v="3"/>
    <m/>
    <n v="128"/>
    <s v="pas d'attrib."/>
    <n v="5.6666666670000003"/>
    <n v="3.75"/>
    <n v="3.75"/>
    <x v="4"/>
    <n v="17"/>
    <n v="15"/>
    <n v="15"/>
    <n v="6"/>
    <n v="20"/>
    <n v="41"/>
    <n v="45"/>
    <n v="16"/>
    <n v="2.4390000000000001"/>
    <n v="5.6910999999999996"/>
    <n v="0.11"/>
    <n v="54"/>
    <n v="10"/>
    <n v="55"/>
    <n v="11"/>
    <n v="0"/>
    <n v="10"/>
    <n v="0"/>
    <n v="0"/>
    <n v="0"/>
    <n v="0"/>
    <n v="0"/>
    <n v="0"/>
    <n v="0"/>
    <n v="0"/>
    <n v="0"/>
    <n v="16"/>
    <n v="0"/>
    <n v="3"/>
    <s v="5,40"/>
    <s v="5,00"/>
    <n v="2"/>
  </r>
  <r>
    <n v="34290"/>
    <s v="Saint-Vincent-de-Barbeyrargues"/>
    <x v="6"/>
    <m/>
    <m/>
    <x v="3"/>
    <m/>
    <n v="12"/>
    <s v="pas d'attrib."/>
    <s v="pas d'attrib."/>
    <s v="pas d'attrib."/>
    <s v="pas d'attrib."/>
    <x v="33"/>
    <n v="3"/>
    <n v="2"/>
    <n v="0"/>
    <n v="0"/>
    <n v="1"/>
    <n v="5"/>
    <n v="5"/>
    <n v="1"/>
    <n v="0"/>
    <n v="8.3332999999999995"/>
    <n v="0.04"/>
    <n v="2"/>
    <n v="1"/>
    <n v="6"/>
    <n v="0"/>
    <n v="0"/>
    <n v="0"/>
    <n v="0"/>
    <n v="0"/>
    <n v="0"/>
    <n v="0"/>
    <n v="0"/>
    <n v="0"/>
    <n v="0"/>
    <n v="0"/>
    <n v="0"/>
    <n v="0"/>
    <n v="0"/>
    <n v="3"/>
    <s v="2,00"/>
    <s v="pas d'attribution"/>
    <n v="1"/>
  </r>
  <r>
    <n v="34291"/>
    <s v="Saint-Vincent-d'Olargue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92"/>
    <s v="Salasc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293"/>
    <s v="La Salvetat-sur-Agout"/>
    <x v="15"/>
    <m/>
    <m/>
    <x v="3"/>
    <m/>
    <n v="25"/>
    <s v="pas d'attrib."/>
    <s v="pas d'attrib."/>
    <n v="1.5"/>
    <n v="0.33333333300000001"/>
    <x v="8"/>
    <n v="8"/>
    <n v="6"/>
    <n v="1"/>
    <n v="0"/>
    <n v="5"/>
    <n v="10"/>
    <n v="8"/>
    <n v="2"/>
    <n v="12.5"/>
    <n v="25"/>
    <n v="0.05"/>
    <n v="11"/>
    <n v="3"/>
    <n v="18"/>
    <n v="7"/>
    <n v="0"/>
    <n v="0"/>
    <n v="0"/>
    <n v="0"/>
    <n v="0"/>
    <n v="0"/>
    <n v="0"/>
    <n v="0"/>
    <n v="0"/>
    <n v="0"/>
    <n v="0"/>
    <n v="0"/>
    <n v="0"/>
    <n v="3"/>
    <s v="3,67"/>
    <s v="2,57"/>
    <n v="4"/>
  </r>
  <r>
    <n v="34294"/>
    <s v="Saturargues"/>
    <x v="0"/>
    <m/>
    <m/>
    <x v="3"/>
    <m/>
    <n v="25"/>
    <s v="pas d'attrib."/>
    <s v="pas d'attrib."/>
    <s v="pas d'attrib."/>
    <s v="pas d'attrib."/>
    <x v="31"/>
    <n v="4"/>
    <n v="6"/>
    <n v="0"/>
    <n v="0"/>
    <n v="5"/>
    <n v="12"/>
    <n v="8"/>
    <n v="0"/>
    <n v="0"/>
    <n v="0"/>
    <n v="0.06"/>
    <n v="23"/>
    <n v="0"/>
    <n v="12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1"/>
  </r>
  <r>
    <n v="34295"/>
    <s v="Saussan"/>
    <x v="3"/>
    <m/>
    <m/>
    <x v="3"/>
    <m/>
    <n v="32"/>
    <s v="pas d'attrib."/>
    <n v="13"/>
    <n v="4"/>
    <s v="pas d'attrib."/>
    <x v="34"/>
    <n v="13"/>
    <n v="8"/>
    <n v="6"/>
    <n v="0"/>
    <n v="2"/>
    <n v="18"/>
    <n v="12"/>
    <n v="0"/>
    <n v="0"/>
    <n v="9.375"/>
    <n v="0.05"/>
    <n v="19"/>
    <n v="1"/>
    <n v="32"/>
    <n v="3"/>
    <n v="0"/>
    <n v="24"/>
    <n v="0"/>
    <n v="0"/>
    <n v="0"/>
    <n v="0"/>
    <n v="0"/>
    <n v="0"/>
    <n v="0"/>
    <n v="13"/>
    <n v="0"/>
    <n v="42"/>
    <n v="17"/>
    <n v="3"/>
    <s v="19,00"/>
    <s v="10,67"/>
    <n v="1"/>
  </r>
  <r>
    <n v="34296"/>
    <s v="Saussines"/>
    <x v="0"/>
    <m/>
    <m/>
    <x v="3"/>
    <m/>
    <n v="0"/>
    <s v="pas d'attrib."/>
    <s v="pas d'attrib."/>
    <s v="pas d'attrib."/>
    <s v="pas d'attrib."/>
    <x v="33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297"/>
    <s v="Sauteyrargu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02"/>
    <s v="Siran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03"/>
    <s v="Sorb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04"/>
    <s v="Soubès"/>
    <x v="14"/>
    <m/>
    <m/>
    <x v="3"/>
    <m/>
    <n v="0"/>
    <s v="pas d'attrib."/>
    <s v="pas d'attrib."/>
    <s v="pas d'attrib."/>
    <s v="pas d'attrib."/>
    <x v="33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05"/>
    <s v="Le Soulié"/>
    <x v="15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06"/>
    <s v="Soumont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07"/>
    <s v="Sussargues"/>
    <x v="3"/>
    <m/>
    <m/>
    <x v="3"/>
    <m/>
    <n v="58"/>
    <s v="pas d'attrib."/>
    <n v="9"/>
    <n v="4.5"/>
    <n v="1.3333333329999999"/>
    <x v="31"/>
    <n v="18"/>
    <n v="9"/>
    <n v="4"/>
    <n v="0"/>
    <n v="11"/>
    <n v="27"/>
    <n v="18"/>
    <n v="2"/>
    <n v="0"/>
    <n v="12.069000000000001"/>
    <n v="0.05"/>
    <n v="27"/>
    <n v="5"/>
    <n v="35"/>
    <n v="7"/>
    <n v="0"/>
    <n v="0"/>
    <n v="0"/>
    <n v="0"/>
    <n v="0"/>
    <n v="0"/>
    <n v="0"/>
    <n v="0"/>
    <n v="0"/>
    <n v="0"/>
    <n v="0"/>
    <n v="0"/>
    <n v="0"/>
    <n v="3"/>
    <s v="5,40"/>
    <s v="5,00"/>
    <n v="1"/>
  </r>
  <r>
    <n v="34308"/>
    <s v="Taussac-la-Billière"/>
    <x v="10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09"/>
    <s v="Teyran"/>
    <x v="6"/>
    <m/>
    <m/>
    <x v="3"/>
    <m/>
    <n v="53"/>
    <s v="pas d'attrib."/>
    <n v="9.5"/>
    <n v="5"/>
    <s v="pas d'attrib."/>
    <x v="34"/>
    <n v="19"/>
    <n v="15"/>
    <n v="19"/>
    <n v="0"/>
    <n v="6"/>
    <n v="32"/>
    <n v="11"/>
    <n v="4"/>
    <n v="1.8868"/>
    <n v="2.0407999999999999"/>
    <n v="0.03"/>
    <n v="59"/>
    <n v="1"/>
    <n v="59"/>
    <n v="5"/>
    <n v="0"/>
    <n v="7"/>
    <n v="0"/>
    <n v="0"/>
    <n v="0"/>
    <n v="0"/>
    <n v="0"/>
    <n v="0"/>
    <n v="0"/>
    <n v="3"/>
    <n v="0"/>
    <n v="9"/>
    <n v="0"/>
    <n v="3"/>
    <s v="59,00"/>
    <s v="11,80"/>
    <n v="1"/>
  </r>
  <r>
    <n v="34310"/>
    <s v="Thézan-lès-Béziers"/>
    <x v="7"/>
    <m/>
    <m/>
    <x v="3"/>
    <m/>
    <n v="31"/>
    <s v="pas d'attrib."/>
    <n v="6"/>
    <n v="5"/>
    <n v="5"/>
    <x v="31"/>
    <n v="6"/>
    <n v="10"/>
    <n v="5"/>
    <n v="0"/>
    <n v="6"/>
    <n v="11"/>
    <n v="12"/>
    <n v="2"/>
    <n v="0"/>
    <n v="13.793100000000001"/>
    <n v="0.02"/>
    <n v="26"/>
    <n v="0"/>
    <n v="22"/>
    <n v="4"/>
    <n v="0"/>
    <n v="0"/>
    <n v="0"/>
    <n v="0"/>
    <n v="0"/>
    <n v="0"/>
    <n v="0"/>
    <n v="0"/>
    <n v="0"/>
    <n v="0"/>
    <n v="0"/>
    <n v="0"/>
    <n v="0"/>
    <n v="3"/>
    <s v="pas d'attribution"/>
    <s v="5,50"/>
    <n v="3"/>
  </r>
  <r>
    <n v="34311"/>
    <s v="Tourbes"/>
    <x v="2"/>
    <m/>
    <m/>
    <x v="3"/>
    <m/>
    <n v="20"/>
    <s v="pas d'attrib."/>
    <s v="pas d'attrib."/>
    <s v="pas d'attrib."/>
    <s v="pas d'attrib."/>
    <x v="33"/>
    <n v="4"/>
    <n v="11"/>
    <n v="4"/>
    <n v="0"/>
    <n v="10"/>
    <n v="10"/>
    <n v="0"/>
    <n v="0"/>
    <n v="0"/>
    <n v="0"/>
    <n v="0.03"/>
    <n v="26"/>
    <n v="14"/>
    <n v="20"/>
    <n v="0"/>
    <n v="0"/>
    <n v="2"/>
    <n v="0"/>
    <n v="0"/>
    <n v="0"/>
    <n v="0"/>
    <n v="0"/>
    <n v="0"/>
    <n v="0"/>
    <n v="2"/>
    <n v="0"/>
    <n v="4"/>
    <n v="0"/>
    <n v="3"/>
    <s v="1,86"/>
    <s v="pas d'attribution"/>
    <n v="3"/>
  </r>
  <r>
    <n v="34312"/>
    <s v="La Tour-sur-Orb"/>
    <x v="10"/>
    <m/>
    <m/>
    <x v="3"/>
    <m/>
    <n v="13"/>
    <s v="pas d'attrib."/>
    <s v="pas d'attrib."/>
    <s v="pas d'attrib."/>
    <s v="pas d'attrib."/>
    <x v="33"/>
    <n v="0"/>
    <n v="1"/>
    <n v="0"/>
    <n v="0"/>
    <n v="0"/>
    <n v="6"/>
    <n v="7"/>
    <n v="0"/>
    <n v="0"/>
    <n v="0"/>
    <n v="0.02"/>
    <n v="1"/>
    <n v="1"/>
    <n v="1"/>
    <n v="0"/>
    <n v="0"/>
    <n v="0"/>
    <n v="0"/>
    <n v="0"/>
    <n v="0"/>
    <n v="0"/>
    <n v="0"/>
    <n v="0"/>
    <n v="0"/>
    <n v="0"/>
    <n v="0"/>
    <n v="0"/>
    <n v="0"/>
    <n v="3"/>
    <s v="1,00"/>
    <s v="pas d'attribution"/>
    <n v="4"/>
  </r>
  <r>
    <n v="34313"/>
    <s v="Tressan"/>
    <x v="11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14"/>
    <s v="Le Triadou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15"/>
    <s v="Usclas-d'Hérault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16"/>
    <s v="Usclas-du-Bosc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17"/>
    <s v="La Vacquerie-et-Saint-Martin-de-Castries"/>
    <x v="14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18"/>
    <s v="Vacquières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19"/>
    <s v="Vailhan"/>
    <x v="7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20"/>
    <s v="Vailhauquès"/>
    <x v="6"/>
    <m/>
    <m/>
    <x v="3"/>
    <m/>
    <n v="66"/>
    <s v="pas d'attrib."/>
    <n v="2"/>
    <n v="1.8333333329999999"/>
    <n v="1"/>
    <x v="20"/>
    <n v="12"/>
    <n v="11"/>
    <n v="6"/>
    <n v="0"/>
    <n v="17"/>
    <n v="22"/>
    <n v="24"/>
    <n v="3"/>
    <n v="3.125"/>
    <n v="6.383"/>
    <n v="7.0000000000000007E-2"/>
    <n v="30"/>
    <n v="3"/>
    <n v="36"/>
    <n v="18"/>
    <n v="0"/>
    <n v="4"/>
    <n v="0"/>
    <n v="0"/>
    <n v="0"/>
    <n v="0"/>
    <n v="0"/>
    <n v="0"/>
    <n v="0"/>
    <n v="7"/>
    <n v="0"/>
    <n v="7"/>
    <n v="12"/>
    <n v="3"/>
    <s v="10,00"/>
    <s v="2,00"/>
    <n v="2"/>
  </r>
  <r>
    <n v="34321"/>
    <s v="Valergues"/>
    <x v="16"/>
    <m/>
    <m/>
    <x v="3"/>
    <m/>
    <n v="9"/>
    <s v="pas d'attrib."/>
    <s v="pas d'attrib."/>
    <s v="pas d'attrib."/>
    <s v="pas d'attrib."/>
    <x v="31"/>
    <n v="12"/>
    <n v="18"/>
    <n v="14"/>
    <n v="0"/>
    <n v="2"/>
    <n v="3"/>
    <n v="4"/>
    <n v="0"/>
    <n v="0"/>
    <n v="0"/>
    <n v="0.01"/>
    <n v="35"/>
    <n v="0"/>
    <n v="66"/>
    <n v="0"/>
    <n v="0"/>
    <n v="9"/>
    <n v="0"/>
    <n v="0"/>
    <n v="0"/>
    <n v="0"/>
    <n v="0"/>
    <n v="0"/>
    <n v="0"/>
    <n v="0"/>
    <n v="0"/>
    <n v="19"/>
    <n v="0"/>
    <n v="3"/>
    <s v="pas d'attribution"/>
    <s v="pas d'attribution"/>
    <n v="1"/>
  </r>
  <r>
    <n v="34322"/>
    <s v="Valflaunès"/>
    <x v="6"/>
    <m/>
    <m/>
    <x v="3"/>
    <m/>
    <n v="0"/>
    <s v="pas d'attrib."/>
    <s v="pas d'attrib."/>
    <s v="pas d'attrib."/>
    <s v="pas d'attrib."/>
    <x v="33"/>
    <n v="1"/>
    <n v="0"/>
    <n v="0"/>
    <n v="0"/>
    <n v="0"/>
    <n v="0"/>
    <n v="0"/>
    <n v="0"/>
    <n v="0"/>
    <n v="0"/>
    <n v="0"/>
    <n v="2"/>
    <n v="0"/>
    <n v="1"/>
    <n v="0"/>
    <n v="0"/>
    <n v="5"/>
    <n v="0"/>
    <n v="0"/>
    <n v="0"/>
    <n v="0"/>
    <n v="0"/>
    <n v="0"/>
    <n v="0"/>
    <n v="0"/>
    <n v="0"/>
    <n v="9"/>
    <n v="0"/>
    <n v="3"/>
    <s v="pas d'attribution"/>
    <s v="pas d'attribution"/>
    <n v="3"/>
  </r>
  <r>
    <n v="34323"/>
    <s v="Valmascle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25"/>
    <s v="Valros"/>
    <x v="1"/>
    <m/>
    <m/>
    <x v="3"/>
    <m/>
    <n v="22"/>
    <s v="pas d'attrib."/>
    <s v="pas d'attrib."/>
    <n v="3.5"/>
    <s v="pas d'attrib."/>
    <x v="34"/>
    <n v="2"/>
    <n v="7"/>
    <n v="0"/>
    <n v="0"/>
    <n v="7"/>
    <n v="11"/>
    <n v="3"/>
    <n v="1"/>
    <n v="0"/>
    <n v="5"/>
    <n v="0.03"/>
    <n v="12"/>
    <n v="2"/>
    <n v="12"/>
    <n v="2"/>
    <n v="0"/>
    <n v="0"/>
    <n v="0"/>
    <n v="0"/>
    <n v="0"/>
    <n v="0"/>
    <n v="0"/>
    <n v="0"/>
    <n v="0"/>
    <n v="0"/>
    <n v="0"/>
    <n v="1"/>
    <n v="0"/>
    <n v="3"/>
    <s v="6,00"/>
    <s v="6,00"/>
    <n v="3"/>
  </r>
  <r>
    <n v="34326"/>
    <s v="Vélieux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28"/>
    <s v="Vendémian"/>
    <x v="11"/>
    <m/>
    <m/>
    <x v="3"/>
    <m/>
    <n v="3"/>
    <s v="pas d'attrib."/>
    <s v="pas d'attrib."/>
    <s v="pas d'attrib."/>
    <s v="pas d'attrib."/>
    <x v="33"/>
    <n v="1"/>
    <n v="1"/>
    <n v="1"/>
    <n v="0"/>
    <n v="1"/>
    <n v="2"/>
    <n v="0"/>
    <n v="0"/>
    <n v="0"/>
    <n v="0"/>
    <n v="0.01"/>
    <n v="0"/>
    <n v="0"/>
    <n v="3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29"/>
    <s v="Vendres"/>
    <x v="5"/>
    <m/>
    <m/>
    <x v="3"/>
    <m/>
    <n v="42"/>
    <s v="pas d'attrib."/>
    <s v="pas d'attrib."/>
    <s v="pas d'attrib."/>
    <n v="5.5"/>
    <x v="31"/>
    <n v="9"/>
    <n v="8"/>
    <n v="11"/>
    <n v="0"/>
    <n v="0"/>
    <n v="11"/>
    <n v="26"/>
    <n v="5"/>
    <n v="0"/>
    <n v="7.5"/>
    <n v="0.04"/>
    <n v="32"/>
    <n v="2"/>
    <n v="32"/>
    <n v="2"/>
    <n v="0"/>
    <n v="9"/>
    <n v="0"/>
    <n v="0"/>
    <n v="0"/>
    <n v="0"/>
    <n v="0"/>
    <n v="0"/>
    <n v="0"/>
    <n v="0"/>
    <n v="0"/>
    <n v="19"/>
    <n v="8"/>
    <n v="3"/>
    <s v="16,00"/>
    <s v="16,00"/>
    <n v="1"/>
  </r>
  <r>
    <n v="34331"/>
    <s v="Verreries-de-Moussans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33"/>
    <s v="Vic-la-Gardiole"/>
    <x v="4"/>
    <m/>
    <m/>
    <x v="3"/>
    <m/>
    <n v="0"/>
    <s v="pas d'attrib."/>
    <s v="pas d'attrib."/>
    <s v="pas d'attrib."/>
    <s v="pas d'attrib."/>
    <x v="20"/>
    <n v="19"/>
    <n v="6"/>
    <n v="7"/>
    <n v="0"/>
    <n v="0"/>
    <n v="0"/>
    <n v="0"/>
    <n v="0"/>
    <n v="0"/>
    <n v="0"/>
    <n v="0"/>
    <n v="56"/>
    <n v="0"/>
    <n v="50"/>
    <n v="0"/>
    <n v="0"/>
    <n v="6"/>
    <n v="0"/>
    <n v="0"/>
    <n v="0"/>
    <n v="0"/>
    <n v="0"/>
    <n v="0"/>
    <n v="0"/>
    <n v="0"/>
    <n v="0"/>
    <n v="12"/>
    <n v="0"/>
    <n v="3"/>
    <s v="pas d'attribution"/>
    <s v="pas d'attribution"/>
    <n v="1"/>
  </r>
  <r>
    <n v="34334"/>
    <s v="Vieussan"/>
    <x v="8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35"/>
    <s v="Villemagne-l'Argentière"/>
    <x v="10"/>
    <m/>
    <m/>
    <x v="3"/>
    <m/>
    <n v="2"/>
    <s v="pas d'attrib."/>
    <s v="pas d'attrib."/>
    <s v="pas d'attrib."/>
    <s v="pas d'attrib."/>
    <x v="32"/>
    <m/>
    <m/>
    <m/>
    <n v="0"/>
    <n v="0"/>
    <n v="0"/>
    <n v="2"/>
    <n v="0"/>
    <n v="0"/>
    <n v="0"/>
    <n v="0.0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38"/>
    <s v="Villeneuvette"/>
    <x v="12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3"/>
  </r>
  <r>
    <n v="34339"/>
    <s v="Villespassans"/>
    <x v="13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4"/>
  </r>
  <r>
    <n v="34340"/>
    <s v="Villetelle"/>
    <x v="0"/>
    <m/>
    <m/>
    <x v="3"/>
    <m/>
    <n v="0"/>
    <s v="pas d'attrib."/>
    <s v="pas d'attrib."/>
    <s v="pas d'attrib."/>
    <s v="pas d'attrib."/>
    <x v="33"/>
    <n v="0"/>
    <n v="2"/>
    <n v="1"/>
    <n v="0"/>
    <n v="0"/>
    <n v="0"/>
    <n v="0"/>
    <n v="0"/>
    <n v="0"/>
    <n v="0"/>
    <n v="0"/>
    <n v="2"/>
    <n v="0"/>
    <n v="6"/>
    <n v="0"/>
    <n v="0"/>
    <n v="4"/>
    <n v="0"/>
    <n v="0"/>
    <n v="0"/>
    <n v="0"/>
    <n v="0"/>
    <n v="0"/>
    <n v="0"/>
    <n v="0"/>
    <n v="0"/>
    <n v="6"/>
    <n v="0"/>
    <n v="3"/>
    <s v="pas d'attribution"/>
    <s v="pas d'attribution"/>
    <n v="1"/>
  </r>
  <r>
    <n v="34342"/>
    <s v="Viols-en-Laval"/>
    <x v="6"/>
    <m/>
    <m/>
    <x v="3"/>
    <m/>
    <n v="0"/>
    <s v="pas d'attrib."/>
    <s v="pas d'attrib."/>
    <s v="pas d'attrib."/>
    <s v="pas d'attrib."/>
    <x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s v="pas d'attribution"/>
    <s v="pas d'attribution"/>
    <n v="2"/>
  </r>
  <r>
    <n v="34343"/>
    <s v="Viols-le-Fort"/>
    <x v="6"/>
    <m/>
    <m/>
    <x v="3"/>
    <m/>
    <n v="30"/>
    <s v="pas d'attrib."/>
    <n v="5"/>
    <s v="pas d'attrib."/>
    <s v="pas d'attrib."/>
    <x v="34"/>
    <n v="5"/>
    <n v="5"/>
    <n v="2"/>
    <n v="4"/>
    <n v="4"/>
    <n v="2"/>
    <n v="13"/>
    <n v="7"/>
    <n v="0"/>
    <n v="3.3332999999999999"/>
    <n v="0.06"/>
    <n v="17"/>
    <n v="3"/>
    <n v="17"/>
    <n v="1"/>
    <n v="0"/>
    <n v="0"/>
    <n v="0"/>
    <n v="0"/>
    <n v="0"/>
    <n v="0"/>
    <n v="0"/>
    <n v="0"/>
    <n v="0"/>
    <n v="0"/>
    <n v="0"/>
    <n v="0"/>
    <n v="0"/>
    <n v="3"/>
    <s v="5,67"/>
    <s v="17,00"/>
    <n v="2"/>
  </r>
  <r>
    <n v="34344"/>
    <s v="La Grande Motte"/>
    <x v="16"/>
    <m/>
    <m/>
    <x v="3"/>
    <m/>
    <n v="217"/>
    <s v="pas d'attrib."/>
    <n v="74.5"/>
    <n v="14"/>
    <s v="pas d'attrib."/>
    <x v="39"/>
    <n v="149"/>
    <n v="98"/>
    <n v="34"/>
    <n v="2"/>
    <n v="37"/>
    <n v="109"/>
    <n v="69"/>
    <n v="0"/>
    <n v="0"/>
    <n v="1.43"/>
    <n v="4.2250778816199375E-2"/>
    <n v="411"/>
    <n v="5"/>
    <n v="378"/>
    <n v="9"/>
    <n v="0"/>
    <n v="4"/>
    <n v="0"/>
    <n v="0"/>
    <n v="0"/>
    <n v="0"/>
    <n v="0"/>
    <n v="0"/>
    <n v="0"/>
    <n v="2"/>
    <n v="0"/>
    <n v="7"/>
    <n v="0"/>
    <n v="3"/>
    <n v="82.2"/>
    <n v="42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6">
  <r>
    <n v="34001"/>
    <x v="0"/>
    <m/>
    <x v="0"/>
    <x v="0"/>
    <x v="0"/>
    <x v="0"/>
    <x v="0"/>
    <x v="0"/>
    <m/>
    <m/>
    <m/>
    <n v="25"/>
    <m/>
    <m/>
    <m/>
    <m/>
    <m/>
    <m/>
    <m/>
    <m/>
    <m/>
    <m/>
    <m/>
    <m/>
    <m/>
  </r>
  <r>
    <n v="34002"/>
    <x v="1"/>
    <m/>
    <x v="0"/>
    <x v="0"/>
    <x v="0"/>
    <x v="0"/>
    <x v="0"/>
    <x v="1"/>
    <m/>
    <m/>
    <m/>
    <n v="17"/>
    <m/>
    <m/>
    <m/>
    <m/>
    <m/>
    <m/>
    <m/>
    <m/>
    <m/>
    <m/>
    <m/>
    <m/>
    <m/>
  </r>
  <r>
    <n v="34003"/>
    <x v="1"/>
    <m/>
    <x v="0"/>
    <x v="0"/>
    <x v="0"/>
    <x v="0"/>
    <x v="0"/>
    <x v="2"/>
    <m/>
    <m/>
    <n v="3"/>
    <n v="379"/>
    <m/>
    <m/>
    <n v="57"/>
    <m/>
    <n v="5"/>
    <n v="119"/>
    <m/>
    <n v="47"/>
    <m/>
    <n v="102"/>
    <n v="4"/>
    <n v="35"/>
    <m/>
  </r>
  <r>
    <n v="34008"/>
    <x v="2"/>
    <m/>
    <x v="0"/>
    <x v="0"/>
    <x v="0"/>
    <x v="0"/>
    <x v="0"/>
    <x v="0"/>
    <m/>
    <m/>
    <m/>
    <n v="10"/>
    <m/>
    <m/>
    <m/>
    <m/>
    <m/>
    <m/>
    <m/>
    <m/>
    <m/>
    <m/>
    <m/>
    <m/>
    <m/>
  </r>
  <r>
    <n v="34009"/>
    <x v="3"/>
    <m/>
    <x v="0"/>
    <x v="0"/>
    <x v="0"/>
    <x v="0"/>
    <x v="0"/>
    <x v="0"/>
    <m/>
    <m/>
    <m/>
    <n v="13"/>
    <m/>
    <m/>
    <m/>
    <m/>
    <m/>
    <m/>
    <m/>
    <m/>
    <m/>
    <m/>
    <m/>
    <m/>
    <m/>
  </r>
  <r>
    <n v="34010"/>
    <x v="4"/>
    <m/>
    <x v="0"/>
    <x v="0"/>
    <x v="0"/>
    <x v="0"/>
    <x v="0"/>
    <x v="3"/>
    <m/>
    <m/>
    <m/>
    <n v="36"/>
    <m/>
    <m/>
    <m/>
    <m/>
    <m/>
    <m/>
    <m/>
    <m/>
    <m/>
    <m/>
    <m/>
    <m/>
    <m/>
  </r>
  <r>
    <n v="34013"/>
    <x v="5"/>
    <m/>
    <x v="0"/>
    <x v="0"/>
    <x v="0"/>
    <x v="0"/>
    <x v="0"/>
    <x v="4"/>
    <m/>
    <m/>
    <m/>
    <n v="7"/>
    <m/>
    <m/>
    <m/>
    <m/>
    <m/>
    <m/>
    <m/>
    <m/>
    <m/>
    <m/>
    <m/>
    <m/>
    <m/>
  </r>
  <r>
    <n v="34019"/>
    <x v="2"/>
    <m/>
    <x v="0"/>
    <x v="0"/>
    <x v="0"/>
    <x v="0"/>
    <x v="0"/>
    <x v="0"/>
    <m/>
    <m/>
    <m/>
    <n v="7"/>
    <m/>
    <m/>
    <m/>
    <m/>
    <m/>
    <m/>
    <m/>
    <m/>
    <m/>
    <m/>
    <m/>
    <m/>
    <m/>
  </r>
  <r>
    <n v="34022"/>
    <x v="6"/>
    <n v="96"/>
    <x v="0"/>
    <x v="0"/>
    <x v="1"/>
    <x v="0"/>
    <x v="1"/>
    <x v="5"/>
    <m/>
    <m/>
    <m/>
    <m/>
    <m/>
    <n v="12"/>
    <m/>
    <m/>
    <m/>
    <m/>
    <m/>
    <m/>
    <m/>
    <m/>
    <m/>
    <m/>
    <m/>
  </r>
  <r>
    <n v="34023"/>
    <x v="7"/>
    <m/>
    <x v="0"/>
    <x v="0"/>
    <x v="2"/>
    <x v="0"/>
    <x v="2"/>
    <x v="6"/>
    <m/>
    <m/>
    <m/>
    <n v="138"/>
    <m/>
    <m/>
    <m/>
    <m/>
    <m/>
    <n v="3"/>
    <n v="60"/>
    <m/>
    <m/>
    <m/>
    <m/>
    <m/>
    <m/>
  </r>
  <r>
    <n v="34024"/>
    <x v="7"/>
    <m/>
    <x v="0"/>
    <x v="0"/>
    <x v="0"/>
    <x v="0"/>
    <x v="0"/>
    <x v="0"/>
    <m/>
    <m/>
    <m/>
    <n v="49"/>
    <m/>
    <m/>
    <m/>
    <m/>
    <m/>
    <m/>
    <m/>
    <m/>
    <m/>
    <m/>
    <m/>
    <n v="27"/>
    <m/>
  </r>
  <r>
    <n v="34025"/>
    <x v="3"/>
    <m/>
    <x v="0"/>
    <x v="0"/>
    <x v="0"/>
    <x v="0"/>
    <x v="0"/>
    <x v="0"/>
    <m/>
    <m/>
    <m/>
    <m/>
    <m/>
    <m/>
    <m/>
    <m/>
    <n v="19"/>
    <m/>
    <m/>
    <m/>
    <m/>
    <m/>
    <m/>
    <m/>
    <m/>
  </r>
  <r>
    <n v="34027"/>
    <x v="6"/>
    <m/>
    <x v="0"/>
    <x v="0"/>
    <x v="0"/>
    <x v="0"/>
    <x v="0"/>
    <x v="0"/>
    <m/>
    <m/>
    <m/>
    <m/>
    <m/>
    <m/>
    <m/>
    <m/>
    <m/>
    <m/>
    <m/>
    <n v="30"/>
    <m/>
    <n v="30"/>
    <m/>
    <m/>
    <m/>
  </r>
  <r>
    <n v="34028"/>
    <x v="2"/>
    <m/>
    <x v="0"/>
    <x v="0"/>
    <x v="0"/>
    <x v="0"/>
    <x v="0"/>
    <x v="7"/>
    <m/>
    <m/>
    <m/>
    <n v="145"/>
    <m/>
    <m/>
    <m/>
    <m/>
    <m/>
    <m/>
    <m/>
    <m/>
    <m/>
    <m/>
    <m/>
    <m/>
    <m/>
  </r>
  <r>
    <n v="34029"/>
    <x v="4"/>
    <m/>
    <x v="0"/>
    <x v="0"/>
    <x v="0"/>
    <x v="0"/>
    <x v="0"/>
    <x v="0"/>
    <m/>
    <m/>
    <m/>
    <n v="10"/>
    <m/>
    <m/>
    <m/>
    <m/>
    <m/>
    <m/>
    <m/>
    <m/>
    <m/>
    <m/>
    <m/>
    <m/>
    <m/>
  </r>
  <r>
    <n v="34031"/>
    <x v="1"/>
    <m/>
    <x v="0"/>
    <x v="0"/>
    <x v="0"/>
    <x v="0"/>
    <x v="0"/>
    <x v="8"/>
    <m/>
    <m/>
    <m/>
    <n v="67"/>
    <m/>
    <m/>
    <m/>
    <m/>
    <m/>
    <m/>
    <m/>
    <n v="32"/>
    <m/>
    <n v="30"/>
    <m/>
    <m/>
    <m/>
  </r>
  <r>
    <n v="34032"/>
    <x v="3"/>
    <m/>
    <x v="0"/>
    <x v="0"/>
    <x v="0"/>
    <x v="0"/>
    <x v="3"/>
    <x v="9"/>
    <n v="32"/>
    <n v="28"/>
    <n v="9"/>
    <n v="159"/>
    <m/>
    <n v="212"/>
    <n v="45"/>
    <n v="92"/>
    <n v="6337"/>
    <m/>
    <n v="98"/>
    <n v="87"/>
    <m/>
    <n v="130"/>
    <m/>
    <n v="63"/>
    <m/>
  </r>
  <r>
    <n v="34033"/>
    <x v="8"/>
    <m/>
    <x v="0"/>
    <x v="0"/>
    <x v="0"/>
    <x v="0"/>
    <x v="0"/>
    <x v="0"/>
    <m/>
    <m/>
    <m/>
    <n v="2"/>
    <m/>
    <m/>
    <m/>
    <m/>
    <m/>
    <m/>
    <m/>
    <m/>
    <m/>
    <m/>
    <m/>
    <m/>
    <m/>
  </r>
  <r>
    <n v="34037"/>
    <x v="3"/>
    <m/>
    <x v="0"/>
    <x v="0"/>
    <x v="0"/>
    <x v="0"/>
    <x v="0"/>
    <x v="10"/>
    <m/>
    <m/>
    <m/>
    <m/>
    <m/>
    <m/>
    <m/>
    <m/>
    <n v="12"/>
    <m/>
    <m/>
    <n v="37"/>
    <m/>
    <m/>
    <m/>
    <m/>
    <m/>
  </r>
  <r>
    <n v="34038"/>
    <x v="2"/>
    <m/>
    <x v="0"/>
    <x v="0"/>
    <x v="0"/>
    <x v="0"/>
    <x v="0"/>
    <x v="11"/>
    <m/>
    <m/>
    <m/>
    <n v="82"/>
    <m/>
    <m/>
    <n v="44"/>
    <m/>
    <m/>
    <m/>
    <m/>
    <m/>
    <m/>
    <m/>
    <m/>
    <m/>
    <m/>
  </r>
  <r>
    <n v="34041"/>
    <x v="5"/>
    <m/>
    <x v="0"/>
    <x v="0"/>
    <x v="0"/>
    <x v="0"/>
    <x v="0"/>
    <x v="0"/>
    <m/>
    <m/>
    <m/>
    <n v="6"/>
    <m/>
    <m/>
    <m/>
    <m/>
    <m/>
    <m/>
    <m/>
    <m/>
    <m/>
    <m/>
    <m/>
    <m/>
    <m/>
  </r>
  <r>
    <n v="34043"/>
    <x v="9"/>
    <m/>
    <x v="0"/>
    <x v="0"/>
    <x v="0"/>
    <x v="0"/>
    <x v="0"/>
    <x v="0"/>
    <m/>
    <m/>
    <m/>
    <m/>
    <m/>
    <m/>
    <m/>
    <m/>
    <m/>
    <m/>
    <m/>
    <m/>
    <m/>
    <m/>
    <m/>
    <n v="5"/>
    <m/>
  </r>
  <r>
    <n v="34045"/>
    <x v="5"/>
    <m/>
    <x v="0"/>
    <x v="0"/>
    <x v="0"/>
    <x v="0"/>
    <x v="0"/>
    <x v="12"/>
    <m/>
    <m/>
    <m/>
    <n v="4"/>
    <m/>
    <m/>
    <m/>
    <m/>
    <m/>
    <m/>
    <m/>
    <m/>
    <m/>
    <m/>
    <m/>
    <m/>
    <m/>
  </r>
  <r>
    <n v="34050"/>
    <x v="10"/>
    <m/>
    <x v="0"/>
    <x v="0"/>
    <x v="0"/>
    <x v="0"/>
    <x v="0"/>
    <x v="13"/>
    <m/>
    <m/>
    <m/>
    <m/>
    <m/>
    <m/>
    <m/>
    <m/>
    <m/>
    <m/>
    <n v="12"/>
    <m/>
    <m/>
    <m/>
    <m/>
    <n v="13"/>
    <m/>
  </r>
  <r>
    <n v="34051"/>
    <x v="5"/>
    <m/>
    <x v="0"/>
    <x v="0"/>
    <x v="0"/>
    <x v="0"/>
    <x v="0"/>
    <x v="14"/>
    <m/>
    <m/>
    <m/>
    <m/>
    <m/>
    <m/>
    <m/>
    <m/>
    <m/>
    <m/>
    <m/>
    <m/>
    <m/>
    <m/>
    <m/>
    <m/>
    <m/>
  </r>
  <r>
    <n v="34052"/>
    <x v="11"/>
    <m/>
    <x v="0"/>
    <x v="0"/>
    <x v="0"/>
    <x v="0"/>
    <x v="0"/>
    <x v="0"/>
    <m/>
    <m/>
    <m/>
    <n v="26"/>
    <m/>
    <m/>
    <m/>
    <m/>
    <m/>
    <m/>
    <m/>
    <m/>
    <m/>
    <m/>
    <m/>
    <m/>
    <m/>
  </r>
  <r>
    <n v="34055"/>
    <x v="12"/>
    <m/>
    <x v="0"/>
    <x v="0"/>
    <x v="0"/>
    <x v="0"/>
    <x v="0"/>
    <x v="0"/>
    <m/>
    <m/>
    <m/>
    <n v="6"/>
    <m/>
    <m/>
    <m/>
    <m/>
    <m/>
    <m/>
    <m/>
    <m/>
    <m/>
    <m/>
    <m/>
    <m/>
    <m/>
  </r>
  <r>
    <n v="34056"/>
    <x v="1"/>
    <m/>
    <x v="0"/>
    <x v="0"/>
    <x v="0"/>
    <x v="0"/>
    <x v="0"/>
    <x v="0"/>
    <m/>
    <m/>
    <m/>
    <m/>
    <m/>
    <m/>
    <m/>
    <m/>
    <m/>
    <m/>
    <m/>
    <n v="16"/>
    <m/>
    <m/>
    <m/>
    <m/>
    <m/>
  </r>
  <r>
    <n v="34057"/>
    <x v="6"/>
    <n v="62"/>
    <x v="0"/>
    <x v="0"/>
    <x v="3"/>
    <x v="0"/>
    <x v="4"/>
    <x v="15"/>
    <n v="17"/>
    <m/>
    <m/>
    <n v="119"/>
    <m/>
    <n v="25"/>
    <n v="237"/>
    <m/>
    <m/>
    <m/>
    <m/>
    <n v="298"/>
    <m/>
    <n v="133"/>
    <m/>
    <n v="40"/>
    <m/>
  </r>
  <r>
    <n v="34058"/>
    <x v="6"/>
    <n v="83"/>
    <x v="0"/>
    <x v="0"/>
    <x v="4"/>
    <x v="0"/>
    <x v="0"/>
    <x v="16"/>
    <m/>
    <m/>
    <m/>
    <n v="110"/>
    <m/>
    <m/>
    <m/>
    <m/>
    <m/>
    <m/>
    <m/>
    <n v="17"/>
    <m/>
    <n v="28"/>
    <m/>
    <n v="8"/>
    <m/>
  </r>
  <r>
    <n v="34059"/>
    <x v="13"/>
    <m/>
    <x v="0"/>
    <x v="0"/>
    <x v="0"/>
    <x v="0"/>
    <x v="0"/>
    <x v="0"/>
    <m/>
    <m/>
    <m/>
    <n v="2"/>
    <m/>
    <m/>
    <m/>
    <m/>
    <m/>
    <m/>
    <m/>
    <m/>
    <m/>
    <m/>
    <m/>
    <m/>
    <m/>
  </r>
  <r>
    <n v="34063"/>
    <x v="1"/>
    <m/>
    <x v="0"/>
    <x v="0"/>
    <x v="0"/>
    <x v="0"/>
    <x v="0"/>
    <x v="0"/>
    <m/>
    <m/>
    <m/>
    <n v="5"/>
    <m/>
    <m/>
    <m/>
    <m/>
    <m/>
    <m/>
    <m/>
    <m/>
    <m/>
    <m/>
    <m/>
    <m/>
    <m/>
  </r>
  <r>
    <n v="34064"/>
    <x v="14"/>
    <m/>
    <x v="0"/>
    <x v="0"/>
    <x v="0"/>
    <x v="0"/>
    <x v="0"/>
    <x v="0"/>
    <m/>
    <m/>
    <m/>
    <n v="39"/>
    <m/>
    <m/>
    <m/>
    <m/>
    <m/>
    <m/>
    <m/>
    <m/>
    <m/>
    <m/>
    <m/>
    <m/>
    <m/>
  </r>
  <r>
    <n v="34065"/>
    <x v="11"/>
    <m/>
    <x v="0"/>
    <x v="0"/>
    <x v="0"/>
    <x v="0"/>
    <x v="0"/>
    <x v="0"/>
    <m/>
    <m/>
    <m/>
    <n v="8"/>
    <m/>
    <m/>
    <m/>
    <m/>
    <m/>
    <m/>
    <m/>
    <m/>
    <m/>
    <m/>
    <m/>
    <m/>
    <m/>
  </r>
  <r>
    <n v="34069"/>
    <x v="15"/>
    <m/>
    <x v="0"/>
    <x v="0"/>
    <x v="0"/>
    <x v="0"/>
    <x v="0"/>
    <x v="4"/>
    <m/>
    <m/>
    <m/>
    <n v="39"/>
    <m/>
    <m/>
    <m/>
    <m/>
    <m/>
    <m/>
    <m/>
    <m/>
    <m/>
    <m/>
    <m/>
    <m/>
    <m/>
  </r>
  <r>
    <n v="34070"/>
    <x v="11"/>
    <m/>
    <x v="0"/>
    <x v="0"/>
    <x v="0"/>
    <x v="0"/>
    <x v="0"/>
    <x v="0"/>
    <m/>
    <m/>
    <m/>
    <n v="5"/>
    <m/>
    <m/>
    <m/>
    <m/>
    <m/>
    <m/>
    <m/>
    <m/>
    <m/>
    <m/>
    <m/>
    <m/>
    <m/>
  </r>
  <r>
    <n v="34071"/>
    <x v="2"/>
    <m/>
    <x v="0"/>
    <x v="0"/>
    <x v="0"/>
    <x v="0"/>
    <x v="0"/>
    <x v="0"/>
    <m/>
    <m/>
    <m/>
    <n v="3"/>
    <m/>
    <m/>
    <m/>
    <m/>
    <m/>
    <m/>
    <m/>
    <m/>
    <m/>
    <m/>
    <m/>
    <m/>
    <m/>
  </r>
  <r>
    <n v="34073"/>
    <x v="3"/>
    <m/>
    <x v="0"/>
    <x v="0"/>
    <x v="0"/>
    <x v="0"/>
    <x v="0"/>
    <x v="17"/>
    <m/>
    <m/>
    <m/>
    <m/>
    <m/>
    <m/>
    <m/>
    <m/>
    <n v="27"/>
    <m/>
    <m/>
    <m/>
    <m/>
    <m/>
    <m/>
    <m/>
    <m/>
  </r>
  <r>
    <n v="34074"/>
    <x v="11"/>
    <m/>
    <x v="0"/>
    <x v="0"/>
    <x v="0"/>
    <x v="0"/>
    <x v="0"/>
    <x v="0"/>
    <m/>
    <m/>
    <m/>
    <n v="42"/>
    <m/>
    <m/>
    <m/>
    <m/>
    <m/>
    <m/>
    <m/>
    <m/>
    <m/>
    <m/>
    <m/>
    <m/>
    <m/>
  </r>
  <r>
    <n v="34076"/>
    <x v="5"/>
    <m/>
    <x v="0"/>
    <x v="0"/>
    <x v="0"/>
    <x v="0"/>
    <x v="0"/>
    <x v="0"/>
    <m/>
    <m/>
    <m/>
    <n v="16"/>
    <m/>
    <m/>
    <m/>
    <m/>
    <m/>
    <m/>
    <m/>
    <m/>
    <m/>
    <m/>
    <m/>
    <m/>
    <m/>
  </r>
  <r>
    <n v="34077"/>
    <x v="6"/>
    <n v="95"/>
    <x v="0"/>
    <x v="0"/>
    <x v="5"/>
    <x v="0"/>
    <x v="0"/>
    <x v="18"/>
    <m/>
    <m/>
    <m/>
    <n v="75"/>
    <m/>
    <m/>
    <m/>
    <m/>
    <m/>
    <m/>
    <m/>
    <m/>
    <m/>
    <n v="59"/>
    <m/>
    <m/>
    <m/>
  </r>
  <r>
    <n v="34078"/>
    <x v="9"/>
    <m/>
    <x v="0"/>
    <x v="0"/>
    <x v="0"/>
    <x v="0"/>
    <x v="0"/>
    <x v="19"/>
    <m/>
    <m/>
    <m/>
    <n v="11"/>
    <m/>
    <m/>
    <m/>
    <m/>
    <m/>
    <m/>
    <m/>
    <m/>
    <m/>
    <m/>
    <m/>
    <m/>
    <m/>
  </r>
  <r>
    <n v="34079"/>
    <x v="5"/>
    <m/>
    <x v="0"/>
    <x v="0"/>
    <x v="0"/>
    <x v="0"/>
    <x v="5"/>
    <x v="20"/>
    <m/>
    <m/>
    <m/>
    <n v="500"/>
    <m/>
    <m/>
    <m/>
    <m/>
    <m/>
    <m/>
    <m/>
    <n v="67"/>
    <m/>
    <n v="13"/>
    <m/>
    <m/>
    <m/>
  </r>
  <r>
    <n v="34081"/>
    <x v="15"/>
    <m/>
    <x v="0"/>
    <x v="0"/>
    <x v="0"/>
    <x v="0"/>
    <x v="0"/>
    <x v="21"/>
    <m/>
    <m/>
    <m/>
    <m/>
    <m/>
    <m/>
    <m/>
    <m/>
    <m/>
    <m/>
    <m/>
    <m/>
    <m/>
    <m/>
    <m/>
    <n v="56"/>
    <m/>
  </r>
  <r>
    <n v="34082"/>
    <x v="9"/>
    <m/>
    <x v="0"/>
    <x v="0"/>
    <x v="0"/>
    <x v="0"/>
    <x v="0"/>
    <x v="0"/>
    <m/>
    <m/>
    <m/>
    <m/>
    <m/>
    <m/>
    <m/>
    <m/>
    <m/>
    <m/>
    <m/>
    <n v="15"/>
    <m/>
    <m/>
    <m/>
    <m/>
    <m/>
  </r>
  <r>
    <n v="34084"/>
    <x v="3"/>
    <m/>
    <x v="0"/>
    <x v="0"/>
    <x v="0"/>
    <x v="0"/>
    <x v="0"/>
    <x v="22"/>
    <m/>
    <m/>
    <m/>
    <m/>
    <m/>
    <m/>
    <m/>
    <m/>
    <n v="5"/>
    <m/>
    <m/>
    <m/>
    <m/>
    <m/>
    <m/>
    <m/>
    <m/>
  </r>
  <r>
    <n v="34086"/>
    <x v="13"/>
    <m/>
    <x v="0"/>
    <x v="0"/>
    <x v="0"/>
    <x v="0"/>
    <x v="0"/>
    <x v="0"/>
    <m/>
    <m/>
    <m/>
    <n v="9"/>
    <m/>
    <m/>
    <m/>
    <m/>
    <m/>
    <m/>
    <m/>
    <m/>
    <m/>
    <m/>
    <m/>
    <m/>
    <m/>
  </r>
  <r>
    <n v="34087"/>
    <x v="6"/>
    <n v="67"/>
    <x v="0"/>
    <x v="0"/>
    <x v="0"/>
    <x v="0"/>
    <x v="0"/>
    <x v="7"/>
    <m/>
    <m/>
    <m/>
    <n v="19"/>
    <m/>
    <m/>
    <m/>
    <m/>
    <m/>
    <m/>
    <m/>
    <n v="11"/>
    <m/>
    <n v="36"/>
    <m/>
    <m/>
    <m/>
  </r>
  <r>
    <n v="34088"/>
    <x v="6"/>
    <n v="44"/>
    <x v="0"/>
    <x v="0"/>
    <x v="6"/>
    <x v="0"/>
    <x v="0"/>
    <x v="9"/>
    <m/>
    <m/>
    <m/>
    <n v="50"/>
    <m/>
    <m/>
    <m/>
    <m/>
    <m/>
    <m/>
    <m/>
    <m/>
    <m/>
    <n v="50"/>
    <m/>
    <m/>
    <m/>
  </r>
  <r>
    <n v="34089"/>
    <x v="11"/>
    <m/>
    <x v="0"/>
    <x v="0"/>
    <x v="0"/>
    <x v="0"/>
    <x v="0"/>
    <x v="0"/>
    <m/>
    <m/>
    <m/>
    <n v="24"/>
    <m/>
    <m/>
    <m/>
    <m/>
    <m/>
    <m/>
    <m/>
    <m/>
    <m/>
    <m/>
    <m/>
    <m/>
    <m/>
  </r>
  <r>
    <n v="34090"/>
    <x v="6"/>
    <n v="131"/>
    <x v="0"/>
    <x v="0"/>
    <x v="7"/>
    <x v="0"/>
    <x v="6"/>
    <x v="23"/>
    <m/>
    <m/>
    <m/>
    <n v="63"/>
    <m/>
    <m/>
    <n v="6"/>
    <m/>
    <m/>
    <m/>
    <m/>
    <n v="66"/>
    <m/>
    <n v="41"/>
    <m/>
    <m/>
    <m/>
  </r>
  <r>
    <n v="34094"/>
    <x v="3"/>
    <m/>
    <x v="0"/>
    <x v="0"/>
    <x v="0"/>
    <x v="0"/>
    <x v="0"/>
    <x v="0"/>
    <m/>
    <m/>
    <m/>
    <n v="2"/>
    <m/>
    <m/>
    <m/>
    <m/>
    <m/>
    <m/>
    <m/>
    <m/>
    <m/>
    <m/>
    <m/>
    <m/>
    <m/>
  </r>
  <r>
    <n v="34095"/>
    <x v="6"/>
    <n v="5"/>
    <x v="0"/>
    <x v="0"/>
    <x v="8"/>
    <x v="0"/>
    <x v="0"/>
    <x v="0"/>
    <m/>
    <m/>
    <m/>
    <n v="75"/>
    <m/>
    <m/>
    <m/>
    <m/>
    <m/>
    <m/>
    <m/>
    <m/>
    <m/>
    <n v="26"/>
    <m/>
    <n v="31"/>
    <m/>
  </r>
  <r>
    <n v="34096"/>
    <x v="0"/>
    <m/>
    <x v="0"/>
    <x v="0"/>
    <x v="0"/>
    <x v="0"/>
    <x v="0"/>
    <x v="0"/>
    <m/>
    <m/>
    <m/>
    <n v="5"/>
    <m/>
    <m/>
    <m/>
    <m/>
    <m/>
    <m/>
    <m/>
    <m/>
    <m/>
    <m/>
    <m/>
    <m/>
    <m/>
  </r>
  <r>
    <n v="34097"/>
    <x v="13"/>
    <m/>
    <x v="0"/>
    <x v="0"/>
    <x v="0"/>
    <x v="0"/>
    <x v="0"/>
    <x v="0"/>
    <m/>
    <m/>
    <m/>
    <n v="6"/>
    <m/>
    <m/>
    <m/>
    <m/>
    <m/>
    <m/>
    <m/>
    <m/>
    <m/>
    <m/>
    <m/>
    <m/>
    <m/>
  </r>
  <r>
    <n v="34101"/>
    <x v="1"/>
    <m/>
    <x v="0"/>
    <x v="0"/>
    <x v="0"/>
    <x v="0"/>
    <x v="0"/>
    <x v="24"/>
    <m/>
    <m/>
    <m/>
    <n v="111"/>
    <m/>
    <m/>
    <m/>
    <m/>
    <m/>
    <m/>
    <m/>
    <m/>
    <m/>
    <n v="31"/>
    <m/>
    <m/>
    <m/>
  </r>
  <r>
    <n v="34103"/>
    <x v="5"/>
    <m/>
    <x v="0"/>
    <x v="0"/>
    <x v="0"/>
    <x v="0"/>
    <x v="0"/>
    <x v="19"/>
    <m/>
    <m/>
    <m/>
    <m/>
    <m/>
    <m/>
    <m/>
    <m/>
    <m/>
    <m/>
    <m/>
    <m/>
    <m/>
    <m/>
    <m/>
    <m/>
    <m/>
  </r>
  <r>
    <n v="34107"/>
    <x v="12"/>
    <m/>
    <x v="0"/>
    <x v="0"/>
    <x v="0"/>
    <x v="0"/>
    <x v="0"/>
    <x v="0"/>
    <m/>
    <m/>
    <m/>
    <n v="4"/>
    <m/>
    <m/>
    <m/>
    <m/>
    <m/>
    <m/>
    <m/>
    <m/>
    <m/>
    <m/>
    <m/>
    <m/>
    <m/>
  </r>
  <r>
    <n v="34108"/>
    <x v="7"/>
    <m/>
    <x v="0"/>
    <x v="0"/>
    <x v="0"/>
    <x v="0"/>
    <x v="7"/>
    <x v="25"/>
    <m/>
    <m/>
    <m/>
    <n v="1399"/>
    <m/>
    <m/>
    <m/>
    <m/>
    <m/>
    <m/>
    <m/>
    <n v="108"/>
    <m/>
    <n v="46"/>
    <m/>
    <n v="29"/>
    <m/>
  </r>
  <r>
    <n v="34109"/>
    <x v="0"/>
    <m/>
    <x v="0"/>
    <x v="0"/>
    <x v="0"/>
    <x v="0"/>
    <x v="0"/>
    <x v="0"/>
    <m/>
    <m/>
    <m/>
    <n v="29"/>
    <m/>
    <m/>
    <m/>
    <m/>
    <m/>
    <m/>
    <m/>
    <m/>
    <m/>
    <m/>
    <m/>
    <m/>
    <m/>
  </r>
  <r>
    <n v="34111"/>
    <x v="16"/>
    <m/>
    <x v="0"/>
    <x v="0"/>
    <x v="0"/>
    <x v="0"/>
    <x v="0"/>
    <x v="0"/>
    <m/>
    <m/>
    <m/>
    <n v="253"/>
    <m/>
    <m/>
    <m/>
    <m/>
    <m/>
    <m/>
    <m/>
    <m/>
    <m/>
    <m/>
    <m/>
    <m/>
    <m/>
  </r>
  <r>
    <n v="34113"/>
    <x v="7"/>
    <m/>
    <x v="0"/>
    <x v="0"/>
    <x v="0"/>
    <x v="0"/>
    <x v="0"/>
    <x v="0"/>
    <m/>
    <m/>
    <m/>
    <n v="111"/>
    <m/>
    <m/>
    <n v="47"/>
    <m/>
    <m/>
    <n v="44"/>
    <m/>
    <m/>
    <m/>
    <n v="30"/>
    <m/>
    <n v="11"/>
    <m/>
  </r>
  <r>
    <n v="34114"/>
    <x v="4"/>
    <m/>
    <x v="0"/>
    <x v="0"/>
    <x v="0"/>
    <x v="0"/>
    <x v="0"/>
    <x v="26"/>
    <m/>
    <m/>
    <m/>
    <n v="285"/>
    <m/>
    <m/>
    <m/>
    <m/>
    <m/>
    <m/>
    <m/>
    <m/>
    <m/>
    <m/>
    <m/>
    <m/>
    <m/>
  </r>
  <r>
    <n v="34116"/>
    <x v="6"/>
    <n v="46"/>
    <x v="0"/>
    <x v="0"/>
    <x v="9"/>
    <x v="0"/>
    <x v="8"/>
    <x v="0"/>
    <m/>
    <m/>
    <m/>
    <n v="86"/>
    <m/>
    <m/>
    <n v="28"/>
    <m/>
    <m/>
    <m/>
    <m/>
    <n v="46"/>
    <m/>
    <n v="103"/>
    <m/>
    <n v="3"/>
    <m/>
  </r>
  <r>
    <n v="34117"/>
    <x v="2"/>
    <m/>
    <x v="0"/>
    <x v="0"/>
    <x v="0"/>
    <x v="0"/>
    <x v="0"/>
    <x v="0"/>
    <m/>
    <m/>
    <m/>
    <n v="4"/>
    <m/>
    <m/>
    <n v="12"/>
    <m/>
    <m/>
    <m/>
    <m/>
    <m/>
    <m/>
    <m/>
    <m/>
    <m/>
    <m/>
  </r>
  <r>
    <n v="34119"/>
    <x v="2"/>
    <m/>
    <x v="0"/>
    <x v="0"/>
    <x v="0"/>
    <x v="0"/>
    <x v="0"/>
    <x v="27"/>
    <m/>
    <m/>
    <m/>
    <n v="42"/>
    <m/>
    <m/>
    <m/>
    <m/>
    <m/>
    <m/>
    <m/>
    <m/>
    <m/>
    <m/>
    <m/>
    <m/>
    <m/>
  </r>
  <r>
    <n v="34120"/>
    <x v="6"/>
    <n v="90"/>
    <x v="0"/>
    <x v="0"/>
    <x v="10"/>
    <x v="0"/>
    <x v="0"/>
    <x v="10"/>
    <m/>
    <m/>
    <m/>
    <n v="21"/>
    <m/>
    <m/>
    <n v="66"/>
    <m/>
    <m/>
    <m/>
    <m/>
    <n v="38"/>
    <m/>
    <n v="54"/>
    <m/>
    <m/>
    <m/>
  </r>
  <r>
    <n v="34123"/>
    <x v="6"/>
    <n v="164"/>
    <x v="0"/>
    <x v="0"/>
    <x v="11"/>
    <x v="0"/>
    <x v="2"/>
    <x v="28"/>
    <m/>
    <m/>
    <n v="1"/>
    <m/>
    <m/>
    <m/>
    <n v="123"/>
    <m/>
    <m/>
    <m/>
    <m/>
    <n v="121"/>
    <m/>
    <n v="30"/>
    <m/>
    <m/>
    <m/>
  </r>
  <r>
    <n v="34126"/>
    <x v="2"/>
    <m/>
    <x v="0"/>
    <x v="0"/>
    <x v="0"/>
    <x v="0"/>
    <x v="0"/>
    <x v="29"/>
    <m/>
    <m/>
    <m/>
    <m/>
    <m/>
    <m/>
    <m/>
    <m/>
    <m/>
    <m/>
    <m/>
    <m/>
    <m/>
    <m/>
    <m/>
    <m/>
    <m/>
  </r>
  <r>
    <n v="34127"/>
    <x v="10"/>
    <m/>
    <x v="0"/>
    <x v="0"/>
    <x v="0"/>
    <x v="0"/>
    <x v="0"/>
    <x v="0"/>
    <m/>
    <m/>
    <m/>
    <n v="21"/>
    <m/>
    <m/>
    <m/>
    <m/>
    <m/>
    <m/>
    <m/>
    <m/>
    <m/>
    <m/>
    <m/>
    <n v="32"/>
    <m/>
  </r>
  <r>
    <n v="34129"/>
    <x v="6"/>
    <n v="103"/>
    <x v="0"/>
    <x v="0"/>
    <x v="12"/>
    <x v="0"/>
    <x v="0"/>
    <x v="30"/>
    <m/>
    <m/>
    <m/>
    <n v="28"/>
    <m/>
    <n v="36"/>
    <n v="12"/>
    <m/>
    <m/>
    <m/>
    <m/>
    <n v="142"/>
    <m/>
    <m/>
    <m/>
    <n v="8"/>
    <m/>
  </r>
  <r>
    <n v="34131"/>
    <x v="9"/>
    <m/>
    <x v="0"/>
    <x v="0"/>
    <x v="0"/>
    <x v="0"/>
    <x v="0"/>
    <x v="4"/>
    <m/>
    <m/>
    <m/>
    <m/>
    <m/>
    <m/>
    <m/>
    <m/>
    <m/>
    <m/>
    <m/>
    <m/>
    <m/>
    <m/>
    <m/>
    <m/>
    <m/>
  </r>
  <r>
    <n v="34134"/>
    <x v="6"/>
    <n v="30"/>
    <x v="0"/>
    <x v="0"/>
    <x v="0"/>
    <x v="0"/>
    <x v="0"/>
    <x v="0"/>
    <m/>
    <m/>
    <m/>
    <n v="58"/>
    <m/>
    <m/>
    <m/>
    <m/>
    <m/>
    <m/>
    <m/>
    <m/>
    <m/>
    <m/>
    <m/>
    <n v="67"/>
    <m/>
  </r>
  <r>
    <n v="34135"/>
    <x v="15"/>
    <m/>
    <x v="0"/>
    <x v="0"/>
    <x v="0"/>
    <x v="0"/>
    <x v="0"/>
    <x v="31"/>
    <m/>
    <m/>
    <m/>
    <n v="60"/>
    <m/>
    <m/>
    <m/>
    <m/>
    <n v="11"/>
    <m/>
    <m/>
    <m/>
    <m/>
    <m/>
    <m/>
    <m/>
    <m/>
  </r>
  <r>
    <n v="34136"/>
    <x v="1"/>
    <m/>
    <x v="0"/>
    <x v="0"/>
    <x v="0"/>
    <x v="0"/>
    <x v="0"/>
    <x v="29"/>
    <m/>
    <m/>
    <m/>
    <n v="13"/>
    <m/>
    <m/>
    <m/>
    <m/>
    <m/>
    <m/>
    <m/>
    <m/>
    <m/>
    <m/>
    <m/>
    <m/>
    <m/>
  </r>
  <r>
    <n v="34139"/>
    <x v="3"/>
    <m/>
    <x v="0"/>
    <x v="0"/>
    <x v="0"/>
    <x v="0"/>
    <x v="0"/>
    <x v="0"/>
    <m/>
    <m/>
    <m/>
    <m/>
    <m/>
    <m/>
    <m/>
    <m/>
    <n v="7"/>
    <m/>
    <m/>
    <m/>
    <m/>
    <m/>
    <m/>
    <m/>
    <m/>
  </r>
  <r>
    <n v="34140"/>
    <x v="3"/>
    <m/>
    <x v="0"/>
    <x v="0"/>
    <x v="0"/>
    <x v="0"/>
    <x v="0"/>
    <x v="0"/>
    <m/>
    <m/>
    <m/>
    <m/>
    <m/>
    <m/>
    <m/>
    <m/>
    <n v="26"/>
    <m/>
    <m/>
    <m/>
    <m/>
    <m/>
    <m/>
    <m/>
    <m/>
  </r>
  <r>
    <n v="34141"/>
    <x v="13"/>
    <m/>
    <x v="0"/>
    <x v="0"/>
    <x v="0"/>
    <x v="0"/>
    <x v="0"/>
    <x v="0"/>
    <m/>
    <m/>
    <m/>
    <n v="17"/>
    <m/>
    <m/>
    <m/>
    <m/>
    <m/>
    <m/>
    <m/>
    <m/>
    <m/>
    <m/>
    <m/>
    <m/>
    <m/>
  </r>
  <r>
    <n v="34142"/>
    <x v="14"/>
    <m/>
    <x v="0"/>
    <x v="0"/>
    <x v="0"/>
    <x v="0"/>
    <x v="9"/>
    <x v="32"/>
    <m/>
    <m/>
    <m/>
    <n v="243"/>
    <m/>
    <m/>
    <n v="26"/>
    <m/>
    <m/>
    <m/>
    <m/>
    <m/>
    <m/>
    <m/>
    <m/>
    <m/>
    <m/>
  </r>
  <r>
    <n v="34143"/>
    <x v="7"/>
    <m/>
    <x v="0"/>
    <x v="0"/>
    <x v="0"/>
    <x v="0"/>
    <x v="0"/>
    <x v="24"/>
    <m/>
    <m/>
    <m/>
    <n v="21"/>
    <m/>
    <m/>
    <m/>
    <m/>
    <m/>
    <m/>
    <m/>
    <m/>
    <m/>
    <m/>
    <m/>
    <m/>
    <m/>
  </r>
  <r>
    <n v="34144"/>
    <x v="2"/>
    <m/>
    <x v="0"/>
    <x v="0"/>
    <x v="0"/>
    <x v="0"/>
    <x v="0"/>
    <x v="0"/>
    <m/>
    <m/>
    <m/>
    <n v="5"/>
    <m/>
    <m/>
    <m/>
    <m/>
    <m/>
    <m/>
    <m/>
    <m/>
    <m/>
    <m/>
    <m/>
    <m/>
    <m/>
  </r>
  <r>
    <n v="34145"/>
    <x v="8"/>
    <n v="555"/>
    <x v="0"/>
    <x v="0"/>
    <x v="13"/>
    <x v="0"/>
    <x v="10"/>
    <x v="33"/>
    <m/>
    <m/>
    <m/>
    <n v="362"/>
    <m/>
    <n v="43"/>
    <n v="54"/>
    <m/>
    <m/>
    <m/>
    <m/>
    <n v="67"/>
    <m/>
    <m/>
    <m/>
    <n v="120"/>
    <n v="85"/>
  </r>
  <r>
    <n v="34146"/>
    <x v="8"/>
    <n v="139"/>
    <x v="0"/>
    <x v="0"/>
    <x v="0"/>
    <x v="0"/>
    <x v="0"/>
    <x v="0"/>
    <m/>
    <m/>
    <m/>
    <n v="76"/>
    <m/>
    <m/>
    <n v="18"/>
    <m/>
    <m/>
    <m/>
    <m/>
    <n v="43"/>
    <m/>
    <m/>
    <m/>
    <m/>
    <m/>
  </r>
  <r>
    <n v="34147"/>
    <x v="0"/>
    <m/>
    <x v="0"/>
    <x v="0"/>
    <x v="0"/>
    <x v="0"/>
    <x v="0"/>
    <x v="24"/>
    <m/>
    <m/>
    <m/>
    <n v="25"/>
    <m/>
    <m/>
    <m/>
    <m/>
    <m/>
    <m/>
    <m/>
    <m/>
    <m/>
    <m/>
    <m/>
    <m/>
    <m/>
  </r>
  <r>
    <n v="34148"/>
    <x v="15"/>
    <m/>
    <x v="0"/>
    <x v="0"/>
    <x v="0"/>
    <x v="0"/>
    <x v="0"/>
    <x v="34"/>
    <m/>
    <m/>
    <m/>
    <n v="75"/>
    <m/>
    <m/>
    <m/>
    <m/>
    <m/>
    <m/>
    <m/>
    <m/>
    <m/>
    <m/>
    <m/>
    <m/>
    <m/>
  </r>
  <r>
    <n v="34149"/>
    <x v="0"/>
    <m/>
    <x v="0"/>
    <x v="0"/>
    <x v="0"/>
    <x v="0"/>
    <x v="0"/>
    <x v="1"/>
    <m/>
    <m/>
    <m/>
    <n v="6"/>
    <m/>
    <m/>
    <m/>
    <m/>
    <m/>
    <m/>
    <m/>
    <m/>
    <m/>
    <m/>
    <m/>
    <m/>
    <m/>
  </r>
  <r>
    <n v="34150"/>
    <x v="7"/>
    <m/>
    <x v="0"/>
    <x v="0"/>
    <x v="0"/>
    <x v="0"/>
    <x v="0"/>
    <x v="35"/>
    <m/>
    <m/>
    <m/>
    <n v="80"/>
    <m/>
    <m/>
    <m/>
    <m/>
    <m/>
    <n v="15"/>
    <m/>
    <m/>
    <m/>
    <n v="67"/>
    <m/>
    <m/>
    <m/>
  </r>
  <r>
    <n v="34151"/>
    <x v="8"/>
    <m/>
    <x v="0"/>
    <x v="0"/>
    <x v="14"/>
    <x v="0"/>
    <x v="11"/>
    <x v="36"/>
    <m/>
    <m/>
    <m/>
    <n v="115"/>
    <m/>
    <m/>
    <m/>
    <m/>
    <m/>
    <m/>
    <m/>
    <m/>
    <m/>
    <m/>
    <m/>
    <m/>
    <m/>
  </r>
  <r>
    <n v="34154"/>
    <x v="10"/>
    <m/>
    <x v="0"/>
    <x v="0"/>
    <x v="0"/>
    <x v="0"/>
    <x v="0"/>
    <x v="11"/>
    <m/>
    <m/>
    <m/>
    <n v="97"/>
    <m/>
    <m/>
    <n v="28"/>
    <n v="89"/>
    <m/>
    <m/>
    <m/>
    <n v="98"/>
    <m/>
    <m/>
    <m/>
    <n v="125"/>
    <m/>
  </r>
  <r>
    <n v="34155"/>
    <x v="15"/>
    <m/>
    <x v="0"/>
    <x v="0"/>
    <x v="0"/>
    <x v="0"/>
    <x v="0"/>
    <x v="19"/>
    <m/>
    <m/>
    <m/>
    <n v="4"/>
    <m/>
    <m/>
    <m/>
    <m/>
    <m/>
    <m/>
    <m/>
    <m/>
    <m/>
    <m/>
    <m/>
    <m/>
    <m/>
  </r>
  <r>
    <n v="34157"/>
    <x v="7"/>
    <m/>
    <x v="0"/>
    <x v="0"/>
    <x v="15"/>
    <x v="0"/>
    <x v="0"/>
    <x v="37"/>
    <m/>
    <m/>
    <m/>
    <n v="333"/>
    <m/>
    <m/>
    <n v="79"/>
    <m/>
    <m/>
    <n v="28"/>
    <m/>
    <n v="111"/>
    <m/>
    <n v="34"/>
    <m/>
    <m/>
    <m/>
  </r>
  <r>
    <n v="34159"/>
    <x v="7"/>
    <m/>
    <x v="0"/>
    <x v="0"/>
    <x v="16"/>
    <x v="0"/>
    <x v="0"/>
    <x v="0"/>
    <m/>
    <m/>
    <m/>
    <n v="40"/>
    <m/>
    <m/>
    <m/>
    <m/>
    <m/>
    <m/>
    <m/>
    <m/>
    <m/>
    <m/>
    <m/>
    <m/>
    <m/>
  </r>
  <r>
    <n v="34161"/>
    <x v="15"/>
    <m/>
    <x v="0"/>
    <x v="0"/>
    <x v="0"/>
    <x v="0"/>
    <x v="0"/>
    <x v="29"/>
    <m/>
    <m/>
    <m/>
    <n v="26"/>
    <m/>
    <m/>
    <m/>
    <m/>
    <m/>
    <m/>
    <m/>
    <m/>
    <m/>
    <m/>
    <m/>
    <m/>
    <m/>
  </r>
  <r>
    <n v="34162"/>
    <x v="1"/>
    <m/>
    <x v="0"/>
    <x v="0"/>
    <x v="0"/>
    <x v="0"/>
    <x v="0"/>
    <x v="38"/>
    <m/>
    <m/>
    <m/>
    <n v="113"/>
    <m/>
    <m/>
    <m/>
    <m/>
    <m/>
    <m/>
    <m/>
    <m/>
    <m/>
    <n v="20"/>
    <m/>
    <m/>
    <m/>
  </r>
  <r>
    <n v="34163"/>
    <x v="4"/>
    <m/>
    <x v="0"/>
    <x v="0"/>
    <x v="0"/>
    <x v="0"/>
    <x v="0"/>
    <x v="39"/>
    <m/>
    <m/>
    <m/>
    <n v="107"/>
    <m/>
    <m/>
    <m/>
    <m/>
    <m/>
    <m/>
    <m/>
    <m/>
    <m/>
    <m/>
    <m/>
    <m/>
    <m/>
  </r>
  <r>
    <n v="34164"/>
    <x v="6"/>
    <n v="8"/>
    <x v="0"/>
    <x v="0"/>
    <x v="0"/>
    <x v="0"/>
    <x v="0"/>
    <x v="0"/>
    <m/>
    <m/>
    <m/>
    <n v="4"/>
    <m/>
    <m/>
    <m/>
    <m/>
    <m/>
    <m/>
    <m/>
    <m/>
    <m/>
    <m/>
    <m/>
    <m/>
    <m/>
  </r>
  <r>
    <n v="34165"/>
    <x v="7"/>
    <m/>
    <x v="0"/>
    <x v="0"/>
    <x v="17"/>
    <x v="0"/>
    <x v="0"/>
    <x v="40"/>
    <m/>
    <m/>
    <m/>
    <n v="40"/>
    <m/>
    <m/>
    <m/>
    <m/>
    <m/>
    <m/>
    <m/>
    <m/>
    <m/>
    <m/>
    <m/>
    <m/>
    <m/>
  </r>
  <r>
    <n v="34166"/>
    <x v="3"/>
    <m/>
    <x v="0"/>
    <x v="0"/>
    <x v="0"/>
    <x v="0"/>
    <x v="0"/>
    <x v="41"/>
    <m/>
    <m/>
    <m/>
    <m/>
    <m/>
    <m/>
    <m/>
    <m/>
    <m/>
    <m/>
    <m/>
    <m/>
    <m/>
    <m/>
    <m/>
    <m/>
    <m/>
  </r>
  <r>
    <n v="34169"/>
    <x v="6"/>
    <m/>
    <x v="0"/>
    <x v="0"/>
    <x v="0"/>
    <x v="0"/>
    <x v="0"/>
    <x v="0"/>
    <m/>
    <m/>
    <m/>
    <m/>
    <m/>
    <n v="42"/>
    <n v="27"/>
    <m/>
    <m/>
    <m/>
    <m/>
    <m/>
    <m/>
    <m/>
    <m/>
    <m/>
    <m/>
  </r>
  <r>
    <n v="34170"/>
    <x v="11"/>
    <m/>
    <x v="0"/>
    <x v="0"/>
    <x v="0"/>
    <x v="0"/>
    <x v="0"/>
    <x v="0"/>
    <m/>
    <m/>
    <m/>
    <n v="3"/>
    <m/>
    <m/>
    <m/>
    <m/>
    <m/>
    <m/>
    <m/>
    <m/>
    <m/>
    <m/>
    <m/>
    <m/>
    <m/>
  </r>
  <r>
    <n v="34171"/>
    <x v="16"/>
    <m/>
    <x v="0"/>
    <x v="0"/>
    <x v="0"/>
    <x v="0"/>
    <x v="0"/>
    <x v="0"/>
    <m/>
    <m/>
    <m/>
    <n v="7"/>
    <m/>
    <m/>
    <m/>
    <m/>
    <m/>
    <m/>
    <m/>
    <m/>
    <m/>
    <m/>
    <m/>
    <m/>
    <m/>
  </r>
  <r>
    <n v="34172"/>
    <x v="6"/>
    <n v="21082"/>
    <x v="1"/>
    <x v="1"/>
    <x v="18"/>
    <x v="1"/>
    <x v="12"/>
    <x v="42"/>
    <n v="225"/>
    <m/>
    <n v="32"/>
    <n v="3078"/>
    <m/>
    <n v="641"/>
    <n v="43"/>
    <m/>
    <m/>
    <m/>
    <n v="35"/>
    <n v="651"/>
    <n v="142"/>
    <n v="584"/>
    <m/>
    <n v="234"/>
    <m/>
  </r>
  <r>
    <n v="34176"/>
    <x v="10"/>
    <m/>
    <x v="0"/>
    <x v="0"/>
    <x v="0"/>
    <x v="0"/>
    <x v="0"/>
    <x v="43"/>
    <m/>
    <m/>
    <m/>
    <m/>
    <m/>
    <m/>
    <m/>
    <m/>
    <m/>
    <m/>
    <m/>
    <m/>
    <m/>
    <n v="18"/>
    <m/>
    <m/>
    <m/>
  </r>
  <r>
    <n v="34178"/>
    <x v="0"/>
    <m/>
    <x v="0"/>
    <x v="0"/>
    <x v="0"/>
    <x v="0"/>
    <x v="0"/>
    <x v="0"/>
    <m/>
    <m/>
    <m/>
    <n v="92"/>
    <m/>
    <m/>
    <m/>
    <m/>
    <m/>
    <m/>
    <m/>
    <m/>
    <m/>
    <m/>
    <m/>
    <m/>
    <m/>
  </r>
  <r>
    <n v="34179"/>
    <x v="6"/>
    <m/>
    <x v="0"/>
    <x v="0"/>
    <x v="0"/>
    <x v="0"/>
    <x v="0"/>
    <x v="0"/>
    <m/>
    <m/>
    <m/>
    <n v="27"/>
    <m/>
    <m/>
    <m/>
    <m/>
    <m/>
    <m/>
    <m/>
    <m/>
    <m/>
    <n v="19"/>
    <m/>
    <m/>
    <m/>
  </r>
  <r>
    <n v="34180"/>
    <x v="5"/>
    <m/>
    <x v="0"/>
    <x v="0"/>
    <x v="0"/>
    <x v="0"/>
    <x v="0"/>
    <x v="44"/>
    <m/>
    <m/>
    <m/>
    <m/>
    <m/>
    <m/>
    <m/>
    <m/>
    <m/>
    <m/>
    <m/>
    <m/>
    <m/>
    <m/>
    <m/>
    <m/>
    <m/>
  </r>
  <r>
    <n v="34181"/>
    <x v="0"/>
    <m/>
    <x v="0"/>
    <x v="0"/>
    <x v="0"/>
    <x v="0"/>
    <x v="0"/>
    <x v="19"/>
    <m/>
    <m/>
    <m/>
    <n v="5"/>
    <m/>
    <m/>
    <m/>
    <m/>
    <m/>
    <m/>
    <m/>
    <m/>
    <m/>
    <m/>
    <m/>
    <m/>
    <m/>
  </r>
  <r>
    <n v="34182"/>
    <x v="1"/>
    <m/>
    <x v="0"/>
    <x v="0"/>
    <x v="0"/>
    <x v="0"/>
    <x v="0"/>
    <x v="44"/>
    <m/>
    <m/>
    <m/>
    <n v="10"/>
    <m/>
    <m/>
    <m/>
    <m/>
    <m/>
    <m/>
    <m/>
    <m/>
    <m/>
    <n v="40"/>
    <m/>
    <m/>
    <m/>
  </r>
  <r>
    <n v="34183"/>
    <x v="15"/>
    <m/>
    <x v="0"/>
    <x v="0"/>
    <x v="0"/>
    <x v="0"/>
    <x v="0"/>
    <x v="5"/>
    <m/>
    <m/>
    <m/>
    <n v="18"/>
    <m/>
    <m/>
    <m/>
    <m/>
    <m/>
    <m/>
    <m/>
    <m/>
    <m/>
    <n v="20"/>
    <m/>
    <m/>
    <m/>
  </r>
  <r>
    <n v="34184"/>
    <x v="1"/>
    <m/>
    <x v="0"/>
    <x v="0"/>
    <x v="0"/>
    <x v="0"/>
    <x v="0"/>
    <x v="45"/>
    <m/>
    <m/>
    <m/>
    <m/>
    <m/>
    <m/>
    <m/>
    <m/>
    <m/>
    <m/>
    <m/>
    <m/>
    <m/>
    <m/>
    <m/>
    <m/>
    <m/>
  </r>
  <r>
    <n v="34186"/>
    <x v="5"/>
    <m/>
    <x v="0"/>
    <x v="0"/>
    <x v="0"/>
    <x v="0"/>
    <x v="0"/>
    <x v="0"/>
    <m/>
    <m/>
    <m/>
    <n v="12"/>
    <m/>
    <m/>
    <m/>
    <m/>
    <m/>
    <m/>
    <m/>
    <m/>
    <m/>
    <m/>
    <m/>
    <m/>
    <m/>
  </r>
  <r>
    <n v="34187"/>
    <x v="13"/>
    <m/>
    <x v="0"/>
    <x v="0"/>
    <x v="0"/>
    <x v="0"/>
    <x v="0"/>
    <x v="0"/>
    <m/>
    <m/>
    <m/>
    <n v="8"/>
    <m/>
    <m/>
    <m/>
    <m/>
    <m/>
    <m/>
    <m/>
    <m/>
    <m/>
    <m/>
    <m/>
    <m/>
    <m/>
  </r>
  <r>
    <n v="34190"/>
    <x v="13"/>
    <m/>
    <x v="0"/>
    <x v="0"/>
    <x v="0"/>
    <x v="0"/>
    <x v="0"/>
    <x v="0"/>
    <m/>
    <m/>
    <m/>
    <n v="7"/>
    <m/>
    <m/>
    <m/>
    <m/>
    <m/>
    <m/>
    <m/>
    <m/>
    <m/>
    <m/>
    <m/>
    <m/>
    <m/>
  </r>
  <r>
    <n v="34192"/>
    <x v="10"/>
    <n v="76"/>
    <x v="0"/>
    <x v="0"/>
    <x v="19"/>
    <x v="0"/>
    <x v="0"/>
    <x v="43"/>
    <m/>
    <m/>
    <m/>
    <m/>
    <m/>
    <m/>
    <m/>
    <m/>
    <m/>
    <m/>
    <m/>
    <n v="14"/>
    <m/>
    <m/>
    <m/>
    <n v="45"/>
    <m/>
  </r>
  <r>
    <n v="34194"/>
    <x v="5"/>
    <m/>
    <x v="0"/>
    <x v="0"/>
    <x v="0"/>
    <x v="0"/>
    <x v="0"/>
    <x v="0"/>
    <m/>
    <m/>
    <m/>
    <n v="91"/>
    <m/>
    <m/>
    <m/>
    <m/>
    <m/>
    <m/>
    <m/>
    <n v="22"/>
    <m/>
    <m/>
    <m/>
    <m/>
    <m/>
  </r>
  <r>
    <n v="34197"/>
    <x v="5"/>
    <m/>
    <x v="0"/>
    <x v="0"/>
    <x v="0"/>
    <x v="0"/>
    <x v="0"/>
    <x v="0"/>
    <m/>
    <m/>
    <m/>
    <n v="12"/>
    <m/>
    <m/>
    <m/>
    <m/>
    <m/>
    <m/>
    <m/>
    <m/>
    <m/>
    <m/>
    <m/>
    <m/>
    <m/>
  </r>
  <r>
    <n v="34198"/>
    <x v="6"/>
    <n v="22"/>
    <x v="0"/>
    <x v="0"/>
    <x v="20"/>
    <x v="0"/>
    <x v="13"/>
    <x v="46"/>
    <m/>
    <m/>
    <m/>
    <m/>
    <m/>
    <m/>
    <m/>
    <m/>
    <m/>
    <m/>
    <m/>
    <m/>
    <m/>
    <m/>
    <m/>
    <n v="10"/>
    <m/>
  </r>
  <r>
    <n v="34199"/>
    <x v="1"/>
    <m/>
    <x v="0"/>
    <x v="0"/>
    <x v="0"/>
    <x v="0"/>
    <x v="14"/>
    <x v="0"/>
    <m/>
    <m/>
    <m/>
    <n v="569"/>
    <m/>
    <m/>
    <m/>
    <m/>
    <m/>
    <m/>
    <m/>
    <n v="15"/>
    <m/>
    <m/>
    <m/>
    <m/>
    <m/>
  </r>
  <r>
    <n v="34202"/>
    <x v="6"/>
    <n v="76"/>
    <x v="0"/>
    <x v="0"/>
    <x v="21"/>
    <x v="0"/>
    <x v="15"/>
    <x v="47"/>
    <m/>
    <m/>
    <m/>
    <n v="46"/>
    <m/>
    <m/>
    <n v="32"/>
    <m/>
    <m/>
    <m/>
    <m/>
    <n v="20"/>
    <m/>
    <m/>
    <m/>
    <m/>
    <m/>
  </r>
  <r>
    <n v="34203"/>
    <x v="1"/>
    <m/>
    <x v="0"/>
    <x v="0"/>
    <x v="0"/>
    <x v="0"/>
    <x v="0"/>
    <x v="37"/>
    <m/>
    <m/>
    <m/>
    <m/>
    <m/>
    <m/>
    <m/>
    <m/>
    <m/>
    <m/>
    <m/>
    <m/>
    <m/>
    <m/>
    <m/>
    <n v="7"/>
    <m/>
  </r>
  <r>
    <n v="34204"/>
    <x v="4"/>
    <m/>
    <x v="0"/>
    <x v="0"/>
    <x v="0"/>
    <x v="0"/>
    <x v="0"/>
    <x v="0"/>
    <m/>
    <m/>
    <m/>
    <n v="19"/>
    <m/>
    <m/>
    <m/>
    <m/>
    <m/>
    <m/>
    <m/>
    <m/>
    <m/>
    <m/>
    <m/>
    <m/>
    <m/>
  </r>
  <r>
    <n v="34206"/>
    <x v="11"/>
    <m/>
    <x v="0"/>
    <x v="0"/>
    <x v="0"/>
    <x v="0"/>
    <x v="0"/>
    <x v="0"/>
    <m/>
    <m/>
    <m/>
    <n v="7"/>
    <m/>
    <m/>
    <m/>
    <m/>
    <m/>
    <m/>
    <m/>
    <m/>
    <m/>
    <m/>
    <m/>
    <m/>
    <m/>
  </r>
  <r>
    <n v="34207"/>
    <x v="1"/>
    <m/>
    <x v="0"/>
    <x v="0"/>
    <x v="0"/>
    <x v="0"/>
    <x v="0"/>
    <x v="0"/>
    <m/>
    <m/>
    <m/>
    <m/>
    <m/>
    <m/>
    <m/>
    <m/>
    <m/>
    <m/>
    <m/>
    <m/>
    <m/>
    <n v="7"/>
    <m/>
    <m/>
    <m/>
  </r>
  <r>
    <n v="34209"/>
    <x v="1"/>
    <m/>
    <x v="0"/>
    <x v="0"/>
    <x v="0"/>
    <x v="0"/>
    <x v="0"/>
    <x v="48"/>
    <m/>
    <m/>
    <m/>
    <n v="4"/>
    <m/>
    <m/>
    <m/>
    <m/>
    <m/>
    <m/>
    <m/>
    <m/>
    <m/>
    <m/>
    <m/>
    <m/>
    <m/>
  </r>
  <r>
    <n v="34210"/>
    <x v="4"/>
    <m/>
    <x v="0"/>
    <x v="0"/>
    <x v="0"/>
    <x v="0"/>
    <x v="0"/>
    <x v="49"/>
    <m/>
    <m/>
    <m/>
    <m/>
    <m/>
    <m/>
    <m/>
    <m/>
    <m/>
    <m/>
    <m/>
    <m/>
    <m/>
    <m/>
    <m/>
    <m/>
    <m/>
  </r>
  <r>
    <n v="34211"/>
    <x v="2"/>
    <m/>
    <x v="0"/>
    <x v="0"/>
    <x v="0"/>
    <x v="0"/>
    <x v="0"/>
    <x v="50"/>
    <m/>
    <m/>
    <m/>
    <n v="5"/>
    <m/>
    <m/>
    <m/>
    <m/>
    <m/>
    <m/>
    <m/>
    <m/>
    <m/>
    <m/>
    <m/>
    <m/>
    <m/>
  </r>
  <r>
    <n v="34213"/>
    <x v="7"/>
    <m/>
    <x v="0"/>
    <x v="0"/>
    <x v="0"/>
    <x v="0"/>
    <x v="0"/>
    <x v="0"/>
    <m/>
    <m/>
    <m/>
    <n v="37"/>
    <m/>
    <m/>
    <m/>
    <m/>
    <m/>
    <n v="40"/>
    <m/>
    <m/>
    <m/>
    <m/>
    <m/>
    <m/>
    <m/>
  </r>
  <r>
    <n v="34214"/>
    <x v="0"/>
    <m/>
    <x v="0"/>
    <x v="0"/>
    <x v="0"/>
    <x v="0"/>
    <x v="0"/>
    <x v="0"/>
    <m/>
    <m/>
    <m/>
    <n v="4"/>
    <m/>
    <m/>
    <m/>
    <m/>
    <m/>
    <m/>
    <m/>
    <m/>
    <m/>
    <m/>
    <m/>
    <m/>
    <m/>
  </r>
  <r>
    <n v="34215"/>
    <x v="4"/>
    <m/>
    <x v="0"/>
    <x v="0"/>
    <x v="0"/>
    <x v="0"/>
    <x v="0"/>
    <x v="51"/>
    <m/>
    <m/>
    <m/>
    <m/>
    <m/>
    <m/>
    <m/>
    <m/>
    <m/>
    <m/>
    <m/>
    <m/>
    <m/>
    <m/>
    <m/>
    <m/>
    <m/>
  </r>
  <r>
    <n v="34217"/>
    <x v="6"/>
    <n v="51"/>
    <x v="0"/>
    <x v="0"/>
    <x v="22"/>
    <x v="0"/>
    <x v="0"/>
    <x v="52"/>
    <m/>
    <m/>
    <m/>
    <n v="7"/>
    <m/>
    <m/>
    <m/>
    <m/>
    <m/>
    <m/>
    <m/>
    <n v="8"/>
    <m/>
    <n v="14"/>
    <m/>
    <n v="33"/>
    <m/>
  </r>
  <r>
    <n v="34219"/>
    <x v="13"/>
    <m/>
    <x v="0"/>
    <x v="0"/>
    <x v="0"/>
    <x v="0"/>
    <x v="0"/>
    <x v="0"/>
    <m/>
    <m/>
    <m/>
    <n v="12"/>
    <m/>
    <m/>
    <m/>
    <m/>
    <m/>
    <m/>
    <m/>
    <m/>
    <m/>
    <m/>
    <m/>
    <m/>
    <m/>
  </r>
  <r>
    <n v="34225"/>
    <x v="11"/>
    <m/>
    <x v="0"/>
    <x v="0"/>
    <x v="0"/>
    <x v="0"/>
    <x v="0"/>
    <x v="5"/>
    <m/>
    <m/>
    <m/>
    <m/>
    <m/>
    <m/>
    <m/>
    <m/>
    <m/>
    <m/>
    <m/>
    <m/>
    <m/>
    <m/>
    <m/>
    <m/>
    <m/>
  </r>
  <r>
    <n v="34226"/>
    <x v="11"/>
    <m/>
    <x v="0"/>
    <x v="0"/>
    <x v="0"/>
    <x v="0"/>
    <x v="0"/>
    <x v="51"/>
    <m/>
    <m/>
    <m/>
    <m/>
    <m/>
    <m/>
    <m/>
    <m/>
    <m/>
    <m/>
    <m/>
    <m/>
    <m/>
    <m/>
    <m/>
    <m/>
    <m/>
  </r>
  <r>
    <n v="34227"/>
    <x v="6"/>
    <m/>
    <x v="0"/>
    <x v="0"/>
    <x v="0"/>
    <x v="0"/>
    <x v="0"/>
    <x v="26"/>
    <m/>
    <m/>
    <m/>
    <m/>
    <m/>
    <m/>
    <m/>
    <m/>
    <m/>
    <m/>
    <m/>
    <m/>
    <m/>
    <m/>
    <m/>
    <n v="18"/>
    <m/>
  </r>
  <r>
    <n v="34232"/>
    <x v="13"/>
    <m/>
    <x v="0"/>
    <x v="0"/>
    <x v="0"/>
    <x v="0"/>
    <x v="0"/>
    <x v="0"/>
    <m/>
    <m/>
    <m/>
    <n v="8"/>
    <m/>
    <m/>
    <m/>
    <m/>
    <m/>
    <m/>
    <m/>
    <m/>
    <m/>
    <m/>
    <m/>
    <m/>
    <m/>
  </r>
  <r>
    <n v="34235"/>
    <x v="12"/>
    <m/>
    <x v="0"/>
    <x v="0"/>
    <x v="0"/>
    <x v="0"/>
    <x v="0"/>
    <x v="0"/>
    <m/>
    <m/>
    <m/>
    <n v="4"/>
    <m/>
    <m/>
    <m/>
    <m/>
    <m/>
    <m/>
    <m/>
    <m/>
    <m/>
    <m/>
    <m/>
    <m/>
    <m/>
  </r>
  <r>
    <n v="34237"/>
    <x v="0"/>
    <m/>
    <x v="0"/>
    <x v="0"/>
    <x v="0"/>
    <x v="0"/>
    <x v="0"/>
    <x v="13"/>
    <m/>
    <m/>
    <m/>
    <n v="21"/>
    <m/>
    <m/>
    <m/>
    <m/>
    <m/>
    <m/>
    <m/>
    <m/>
    <m/>
    <m/>
    <m/>
    <m/>
    <m/>
  </r>
  <r>
    <n v="34239"/>
    <x v="4"/>
    <m/>
    <x v="0"/>
    <x v="0"/>
    <x v="0"/>
    <x v="0"/>
    <x v="0"/>
    <x v="0"/>
    <m/>
    <m/>
    <m/>
    <n v="107"/>
    <m/>
    <n v="12"/>
    <m/>
    <m/>
    <m/>
    <m/>
    <m/>
    <m/>
    <m/>
    <n v="24"/>
    <m/>
    <m/>
    <m/>
  </r>
  <r>
    <n v="34240"/>
    <x v="10"/>
    <m/>
    <x v="0"/>
    <x v="0"/>
    <x v="0"/>
    <x v="0"/>
    <x v="0"/>
    <x v="53"/>
    <m/>
    <m/>
    <m/>
    <n v="22"/>
    <m/>
    <m/>
    <m/>
    <m/>
    <m/>
    <m/>
    <m/>
    <n v="15"/>
    <m/>
    <m/>
    <m/>
    <n v="21"/>
    <m/>
  </r>
  <r>
    <n v="34244"/>
    <x v="6"/>
    <n v="50"/>
    <x v="0"/>
    <x v="0"/>
    <x v="0"/>
    <x v="0"/>
    <x v="0"/>
    <x v="54"/>
    <m/>
    <m/>
    <m/>
    <n v="13"/>
    <m/>
    <m/>
    <m/>
    <m/>
    <m/>
    <m/>
    <m/>
    <m/>
    <m/>
    <n v="10"/>
    <m/>
    <m/>
    <m/>
  </r>
  <r>
    <n v="34245"/>
    <x v="11"/>
    <m/>
    <x v="0"/>
    <x v="0"/>
    <x v="0"/>
    <x v="0"/>
    <x v="0"/>
    <x v="22"/>
    <m/>
    <m/>
    <m/>
    <n v="20"/>
    <m/>
    <m/>
    <m/>
    <m/>
    <m/>
    <m/>
    <m/>
    <m/>
    <m/>
    <m/>
    <m/>
    <m/>
    <m/>
  </r>
  <r>
    <n v="34247"/>
    <x v="9"/>
    <m/>
    <x v="0"/>
    <x v="0"/>
    <x v="0"/>
    <x v="0"/>
    <x v="0"/>
    <x v="0"/>
    <m/>
    <m/>
    <m/>
    <m/>
    <m/>
    <m/>
    <m/>
    <m/>
    <m/>
    <m/>
    <m/>
    <m/>
    <m/>
    <m/>
    <m/>
    <n v="29"/>
    <m/>
  </r>
  <r>
    <n v="34249"/>
    <x v="6"/>
    <m/>
    <x v="0"/>
    <x v="0"/>
    <x v="23"/>
    <x v="0"/>
    <x v="0"/>
    <x v="55"/>
    <m/>
    <m/>
    <m/>
    <n v="7"/>
    <m/>
    <m/>
    <m/>
    <m/>
    <m/>
    <m/>
    <m/>
    <n v="12"/>
    <m/>
    <m/>
    <m/>
    <m/>
    <m/>
  </r>
  <r>
    <n v="34255"/>
    <x v="9"/>
    <m/>
    <x v="0"/>
    <x v="0"/>
    <x v="24"/>
    <x v="0"/>
    <x v="16"/>
    <x v="56"/>
    <m/>
    <m/>
    <m/>
    <n v="6"/>
    <m/>
    <m/>
    <m/>
    <m/>
    <m/>
    <m/>
    <m/>
    <n v="12"/>
    <m/>
    <n v="9"/>
    <m/>
    <n v="12"/>
    <m/>
  </r>
  <r>
    <n v="34256"/>
    <x v="6"/>
    <m/>
    <x v="0"/>
    <x v="0"/>
    <x v="0"/>
    <x v="0"/>
    <x v="0"/>
    <x v="57"/>
    <m/>
    <m/>
    <m/>
    <m/>
    <m/>
    <m/>
    <m/>
    <m/>
    <m/>
    <m/>
    <m/>
    <m/>
    <m/>
    <m/>
    <m/>
    <m/>
    <m/>
  </r>
  <r>
    <n v="34258"/>
    <x v="0"/>
    <m/>
    <x v="0"/>
    <x v="0"/>
    <x v="0"/>
    <x v="0"/>
    <x v="0"/>
    <x v="0"/>
    <m/>
    <m/>
    <m/>
    <n v="5"/>
    <m/>
    <m/>
    <m/>
    <m/>
    <m/>
    <m/>
    <m/>
    <m/>
    <m/>
    <m/>
    <m/>
    <m/>
    <m/>
  </r>
  <r>
    <n v="34259"/>
    <x v="6"/>
    <n v="7"/>
    <x v="0"/>
    <x v="0"/>
    <x v="25"/>
    <x v="0"/>
    <x v="0"/>
    <x v="0"/>
    <m/>
    <m/>
    <m/>
    <n v="51"/>
    <m/>
    <m/>
    <m/>
    <m/>
    <m/>
    <m/>
    <m/>
    <m/>
    <m/>
    <m/>
    <m/>
    <m/>
    <m/>
  </r>
  <r>
    <n v="34260"/>
    <x v="2"/>
    <m/>
    <x v="0"/>
    <x v="0"/>
    <x v="0"/>
    <x v="0"/>
    <x v="0"/>
    <x v="0"/>
    <m/>
    <m/>
    <m/>
    <n v="22"/>
    <m/>
    <m/>
    <m/>
    <m/>
    <m/>
    <m/>
    <m/>
    <m/>
    <m/>
    <m/>
    <m/>
    <m/>
    <m/>
  </r>
  <r>
    <n v="34264"/>
    <x v="9"/>
    <m/>
    <x v="0"/>
    <x v="0"/>
    <x v="0"/>
    <x v="0"/>
    <x v="0"/>
    <x v="0"/>
    <m/>
    <m/>
    <m/>
    <n v="5"/>
    <m/>
    <m/>
    <m/>
    <m/>
    <m/>
    <m/>
    <m/>
    <m/>
    <m/>
    <m/>
    <m/>
    <m/>
    <m/>
  </r>
  <r>
    <n v="34265"/>
    <x v="9"/>
    <m/>
    <x v="0"/>
    <x v="0"/>
    <x v="0"/>
    <x v="0"/>
    <x v="0"/>
    <x v="1"/>
    <m/>
    <m/>
    <m/>
    <m/>
    <m/>
    <m/>
    <m/>
    <m/>
    <m/>
    <m/>
    <m/>
    <m/>
    <m/>
    <m/>
    <m/>
    <m/>
    <m/>
  </r>
  <r>
    <n v="34270"/>
    <x v="6"/>
    <n v="198"/>
    <x v="0"/>
    <x v="0"/>
    <x v="26"/>
    <x v="0"/>
    <x v="0"/>
    <x v="47"/>
    <m/>
    <m/>
    <m/>
    <n v="75"/>
    <m/>
    <m/>
    <n v="7"/>
    <m/>
    <m/>
    <m/>
    <m/>
    <n v="85"/>
    <m/>
    <n v="47"/>
    <m/>
    <n v="176"/>
    <m/>
  </r>
  <r>
    <n v="34272"/>
    <x v="8"/>
    <m/>
    <x v="0"/>
    <x v="0"/>
    <x v="0"/>
    <x v="0"/>
    <x v="0"/>
    <x v="58"/>
    <m/>
    <m/>
    <m/>
    <m/>
    <m/>
    <m/>
    <m/>
    <m/>
    <m/>
    <m/>
    <m/>
    <m/>
    <m/>
    <m/>
    <m/>
    <m/>
    <m/>
  </r>
  <r>
    <n v="34274"/>
    <x v="9"/>
    <m/>
    <x v="0"/>
    <x v="0"/>
    <x v="0"/>
    <x v="0"/>
    <x v="0"/>
    <x v="3"/>
    <m/>
    <m/>
    <m/>
    <n v="54"/>
    <m/>
    <m/>
    <m/>
    <m/>
    <m/>
    <m/>
    <m/>
    <m/>
    <m/>
    <m/>
    <m/>
    <m/>
    <m/>
  </r>
  <r>
    <n v="34276"/>
    <x v="9"/>
    <m/>
    <x v="0"/>
    <x v="0"/>
    <x v="0"/>
    <x v="0"/>
    <x v="0"/>
    <x v="22"/>
    <m/>
    <m/>
    <m/>
    <n v="299"/>
    <m/>
    <m/>
    <m/>
    <m/>
    <m/>
    <m/>
    <m/>
    <m/>
    <m/>
    <m/>
    <m/>
    <m/>
    <m/>
  </r>
  <r>
    <n v="34281"/>
    <x v="4"/>
    <m/>
    <x v="0"/>
    <x v="0"/>
    <x v="0"/>
    <x v="0"/>
    <x v="0"/>
    <x v="12"/>
    <m/>
    <m/>
    <m/>
    <m/>
    <m/>
    <m/>
    <m/>
    <m/>
    <m/>
    <m/>
    <m/>
    <m/>
    <m/>
    <m/>
    <m/>
    <m/>
    <m/>
  </r>
  <r>
    <n v="34284"/>
    <x v="13"/>
    <m/>
    <x v="0"/>
    <x v="0"/>
    <x v="0"/>
    <x v="0"/>
    <x v="0"/>
    <x v="0"/>
    <m/>
    <m/>
    <m/>
    <n v="109"/>
    <m/>
    <m/>
    <m/>
    <m/>
    <m/>
    <m/>
    <m/>
    <m/>
    <m/>
    <m/>
    <m/>
    <m/>
    <m/>
  </r>
  <r>
    <n v="34288"/>
    <x v="8"/>
    <m/>
    <x v="0"/>
    <x v="0"/>
    <x v="0"/>
    <x v="0"/>
    <x v="0"/>
    <x v="0"/>
    <m/>
    <m/>
    <m/>
    <m/>
    <m/>
    <m/>
    <m/>
    <m/>
    <m/>
    <m/>
    <m/>
    <m/>
    <m/>
    <m/>
    <m/>
    <n v="18"/>
    <m/>
  </r>
  <r>
    <n v="34289"/>
    <x v="1"/>
    <m/>
    <x v="0"/>
    <x v="0"/>
    <x v="0"/>
    <x v="0"/>
    <x v="0"/>
    <x v="0"/>
    <m/>
    <m/>
    <m/>
    <n v="78"/>
    <m/>
    <m/>
    <m/>
    <m/>
    <m/>
    <m/>
    <m/>
    <n v="40"/>
    <m/>
    <n v="10"/>
    <m/>
    <m/>
    <m/>
  </r>
  <r>
    <n v="34290"/>
    <x v="9"/>
    <m/>
    <x v="0"/>
    <x v="0"/>
    <x v="0"/>
    <x v="0"/>
    <x v="0"/>
    <x v="1"/>
    <m/>
    <m/>
    <m/>
    <m/>
    <m/>
    <m/>
    <m/>
    <m/>
    <m/>
    <m/>
    <m/>
    <m/>
    <m/>
    <m/>
    <m/>
    <m/>
    <m/>
  </r>
  <r>
    <n v="34293"/>
    <x v="12"/>
    <m/>
    <x v="0"/>
    <x v="0"/>
    <x v="0"/>
    <x v="0"/>
    <x v="0"/>
    <x v="45"/>
    <m/>
    <m/>
    <m/>
    <n v="18"/>
    <m/>
    <m/>
    <m/>
    <m/>
    <m/>
    <m/>
    <m/>
    <m/>
    <m/>
    <m/>
    <m/>
    <m/>
    <m/>
  </r>
  <r>
    <n v="34294"/>
    <x v="8"/>
    <m/>
    <x v="0"/>
    <x v="0"/>
    <x v="0"/>
    <x v="0"/>
    <x v="0"/>
    <x v="51"/>
    <m/>
    <m/>
    <m/>
    <n v="15"/>
    <m/>
    <m/>
    <m/>
    <m/>
    <m/>
    <m/>
    <m/>
    <m/>
    <m/>
    <m/>
    <m/>
    <m/>
    <m/>
  </r>
  <r>
    <n v="34295"/>
    <x v="6"/>
    <m/>
    <x v="0"/>
    <x v="0"/>
    <x v="0"/>
    <x v="0"/>
    <x v="0"/>
    <x v="31"/>
    <m/>
    <m/>
    <m/>
    <m/>
    <m/>
    <m/>
    <m/>
    <m/>
    <m/>
    <m/>
    <m/>
    <n v="12"/>
    <m/>
    <m/>
    <m/>
    <m/>
    <m/>
  </r>
  <r>
    <n v="34298"/>
    <x v="3"/>
    <m/>
    <x v="0"/>
    <x v="0"/>
    <x v="0"/>
    <x v="0"/>
    <x v="0"/>
    <x v="9"/>
    <m/>
    <m/>
    <m/>
    <m/>
    <m/>
    <m/>
    <m/>
    <m/>
    <n v="15"/>
    <m/>
    <m/>
    <m/>
    <m/>
    <n v="36"/>
    <m/>
    <n v="73"/>
    <m/>
  </r>
  <r>
    <n v="34299"/>
    <x v="3"/>
    <m/>
    <x v="0"/>
    <x v="0"/>
    <x v="0"/>
    <x v="0"/>
    <x v="0"/>
    <x v="24"/>
    <m/>
    <m/>
    <m/>
    <n v="22"/>
    <m/>
    <m/>
    <m/>
    <m/>
    <n v="73"/>
    <m/>
    <n v="24"/>
    <n v="66"/>
    <m/>
    <n v="44"/>
    <m/>
    <n v="106"/>
    <m/>
  </r>
  <r>
    <n v="34300"/>
    <x v="3"/>
    <m/>
    <x v="0"/>
    <x v="0"/>
    <x v="0"/>
    <x v="0"/>
    <x v="0"/>
    <x v="59"/>
    <m/>
    <m/>
    <m/>
    <n v="71"/>
    <m/>
    <m/>
    <m/>
    <m/>
    <n v="30"/>
    <m/>
    <m/>
    <m/>
    <m/>
    <m/>
    <m/>
    <n v="27"/>
    <m/>
  </r>
  <r>
    <n v="34301"/>
    <x v="7"/>
    <m/>
    <x v="2"/>
    <x v="0"/>
    <x v="27"/>
    <x v="0"/>
    <x v="17"/>
    <x v="10"/>
    <n v="62"/>
    <m/>
    <m/>
    <n v="647"/>
    <m/>
    <n v="91"/>
    <m/>
    <m/>
    <m/>
    <n v="2972"/>
    <n v="32"/>
    <n v="25"/>
    <m/>
    <n v="71"/>
    <m/>
    <m/>
    <m/>
  </r>
  <r>
    <n v="34307"/>
    <x v="6"/>
    <m/>
    <x v="0"/>
    <x v="0"/>
    <x v="0"/>
    <x v="0"/>
    <x v="0"/>
    <x v="60"/>
    <m/>
    <m/>
    <m/>
    <m/>
    <m/>
    <m/>
    <m/>
    <m/>
    <m/>
    <m/>
    <m/>
    <m/>
    <m/>
    <m/>
    <m/>
    <n v="4"/>
    <m/>
  </r>
  <r>
    <n v="34309"/>
    <x v="9"/>
    <m/>
    <x v="0"/>
    <x v="0"/>
    <x v="0"/>
    <x v="0"/>
    <x v="18"/>
    <x v="5"/>
    <m/>
    <m/>
    <m/>
    <n v="10"/>
    <m/>
    <m/>
    <m/>
    <m/>
    <m/>
    <m/>
    <m/>
    <m/>
    <m/>
    <m/>
    <m/>
    <m/>
    <m/>
  </r>
  <r>
    <n v="34310"/>
    <x v="0"/>
    <m/>
    <x v="0"/>
    <x v="0"/>
    <x v="0"/>
    <x v="0"/>
    <x v="0"/>
    <x v="0"/>
    <m/>
    <m/>
    <m/>
    <n v="31"/>
    <m/>
    <m/>
    <m/>
    <m/>
    <m/>
    <m/>
    <m/>
    <m/>
    <m/>
    <m/>
    <m/>
    <m/>
    <m/>
  </r>
  <r>
    <n v="34311"/>
    <x v="1"/>
    <m/>
    <x v="0"/>
    <x v="0"/>
    <x v="0"/>
    <x v="0"/>
    <x v="0"/>
    <x v="0"/>
    <m/>
    <m/>
    <m/>
    <n v="6"/>
    <m/>
    <m/>
    <m/>
    <m/>
    <m/>
    <m/>
    <m/>
    <m/>
    <m/>
    <m/>
    <m/>
    <n v="14"/>
    <m/>
  </r>
  <r>
    <n v="34312"/>
    <x v="2"/>
    <m/>
    <x v="0"/>
    <x v="0"/>
    <x v="0"/>
    <x v="0"/>
    <x v="0"/>
    <x v="55"/>
    <m/>
    <m/>
    <m/>
    <m/>
    <m/>
    <m/>
    <m/>
    <m/>
    <m/>
    <m/>
    <m/>
    <m/>
    <m/>
    <m/>
    <m/>
    <m/>
    <m/>
  </r>
  <r>
    <n v="34320"/>
    <x v="9"/>
    <m/>
    <x v="0"/>
    <x v="0"/>
    <x v="0"/>
    <x v="0"/>
    <x v="0"/>
    <x v="0"/>
    <m/>
    <m/>
    <m/>
    <n v="35"/>
    <m/>
    <m/>
    <m/>
    <m/>
    <m/>
    <m/>
    <m/>
    <n v="31"/>
    <m/>
    <m/>
    <m/>
    <m/>
    <m/>
  </r>
  <r>
    <n v="34321"/>
    <x v="10"/>
    <m/>
    <x v="0"/>
    <x v="0"/>
    <x v="0"/>
    <x v="0"/>
    <x v="0"/>
    <x v="0"/>
    <m/>
    <m/>
    <m/>
    <n v="9"/>
    <m/>
    <m/>
    <m/>
    <m/>
    <m/>
    <m/>
    <m/>
    <m/>
    <m/>
    <m/>
    <m/>
    <m/>
    <m/>
  </r>
  <r>
    <n v="34324"/>
    <x v="3"/>
    <m/>
    <x v="0"/>
    <x v="0"/>
    <x v="0"/>
    <x v="0"/>
    <x v="0"/>
    <x v="0"/>
    <m/>
    <m/>
    <m/>
    <n v="43"/>
    <m/>
    <m/>
    <m/>
    <m/>
    <n v="10"/>
    <m/>
    <m/>
    <m/>
    <m/>
    <m/>
    <m/>
    <m/>
    <m/>
  </r>
  <r>
    <n v="34325"/>
    <x v="3"/>
    <m/>
    <x v="0"/>
    <x v="0"/>
    <x v="0"/>
    <x v="0"/>
    <x v="0"/>
    <x v="0"/>
    <m/>
    <m/>
    <m/>
    <n v="22"/>
    <m/>
    <m/>
    <m/>
    <m/>
    <m/>
    <m/>
    <m/>
    <m/>
    <m/>
    <m/>
    <m/>
    <m/>
    <m/>
  </r>
  <r>
    <n v="34327"/>
    <x v="6"/>
    <n v="66"/>
    <x v="0"/>
    <x v="0"/>
    <x v="0"/>
    <x v="0"/>
    <x v="19"/>
    <x v="61"/>
    <m/>
    <m/>
    <m/>
    <m/>
    <m/>
    <m/>
    <m/>
    <m/>
    <m/>
    <m/>
    <m/>
    <n v="7"/>
    <m/>
    <m/>
    <m/>
    <m/>
    <m/>
  </r>
  <r>
    <n v="34328"/>
    <x v="4"/>
    <m/>
    <x v="0"/>
    <x v="0"/>
    <x v="0"/>
    <x v="0"/>
    <x v="0"/>
    <x v="0"/>
    <m/>
    <m/>
    <m/>
    <n v="3"/>
    <m/>
    <m/>
    <m/>
    <m/>
    <m/>
    <m/>
    <m/>
    <m/>
    <m/>
    <m/>
    <m/>
    <m/>
    <m/>
  </r>
  <r>
    <n v="34329"/>
    <x v="15"/>
    <m/>
    <x v="0"/>
    <x v="0"/>
    <x v="0"/>
    <x v="0"/>
    <x v="0"/>
    <x v="0"/>
    <m/>
    <m/>
    <m/>
    <n v="32"/>
    <n v="10"/>
    <m/>
    <m/>
    <m/>
    <m/>
    <m/>
    <m/>
    <m/>
    <m/>
    <m/>
    <m/>
    <m/>
    <m/>
  </r>
  <r>
    <n v="34332"/>
    <x v="1"/>
    <m/>
    <x v="0"/>
    <x v="0"/>
    <x v="0"/>
    <x v="0"/>
    <x v="0"/>
    <x v="31"/>
    <m/>
    <m/>
    <m/>
    <n v="25"/>
    <m/>
    <m/>
    <m/>
    <m/>
    <m/>
    <n v="72"/>
    <m/>
    <n v="36"/>
    <m/>
    <n v="46"/>
    <m/>
    <m/>
    <m/>
  </r>
  <r>
    <n v="34335"/>
    <x v="2"/>
    <m/>
    <x v="0"/>
    <x v="0"/>
    <x v="0"/>
    <x v="0"/>
    <x v="0"/>
    <x v="0"/>
    <m/>
    <m/>
    <m/>
    <n v="2"/>
    <m/>
    <m/>
    <m/>
    <m/>
    <m/>
    <m/>
    <m/>
    <m/>
    <m/>
    <m/>
    <m/>
    <m/>
    <m/>
  </r>
  <r>
    <n v="34336"/>
    <x v="3"/>
    <m/>
    <x v="0"/>
    <x v="0"/>
    <x v="0"/>
    <x v="0"/>
    <x v="0"/>
    <x v="0"/>
    <m/>
    <m/>
    <m/>
    <m/>
    <m/>
    <m/>
    <m/>
    <m/>
    <n v="10"/>
    <m/>
    <n v="14"/>
    <n v="32"/>
    <m/>
    <n v="37"/>
    <m/>
    <m/>
    <m/>
  </r>
  <r>
    <n v="34337"/>
    <x v="6"/>
    <n v="74"/>
    <x v="0"/>
    <x v="0"/>
    <x v="0"/>
    <x v="0"/>
    <x v="20"/>
    <x v="36"/>
    <m/>
    <m/>
    <m/>
    <n v="158"/>
    <m/>
    <m/>
    <m/>
    <m/>
    <m/>
    <m/>
    <m/>
    <n v="84"/>
    <m/>
    <m/>
    <m/>
    <m/>
    <m/>
  </r>
  <r>
    <n v="34341"/>
    <x v="7"/>
    <m/>
    <x v="0"/>
    <x v="0"/>
    <x v="0"/>
    <x v="0"/>
    <x v="0"/>
    <x v="0"/>
    <m/>
    <m/>
    <m/>
    <n v="6"/>
    <m/>
    <m/>
    <m/>
    <m/>
    <m/>
    <n v="7"/>
    <m/>
    <m/>
    <m/>
    <m/>
    <m/>
    <m/>
    <m/>
  </r>
  <r>
    <n v="34343"/>
    <x v="9"/>
    <m/>
    <x v="0"/>
    <x v="0"/>
    <x v="0"/>
    <x v="0"/>
    <x v="0"/>
    <x v="49"/>
    <m/>
    <m/>
    <m/>
    <n v="4"/>
    <m/>
    <m/>
    <m/>
    <m/>
    <m/>
    <m/>
    <m/>
    <m/>
    <m/>
    <m/>
    <m/>
    <m/>
    <m/>
  </r>
  <r>
    <n v="34344"/>
    <x v="10"/>
    <m/>
    <x v="0"/>
    <x v="0"/>
    <x v="0"/>
    <x v="0"/>
    <x v="0"/>
    <x v="62"/>
    <m/>
    <m/>
    <m/>
    <n v="85"/>
    <m/>
    <m/>
    <m/>
    <m/>
    <m/>
    <m/>
    <m/>
    <n v="6"/>
    <m/>
    <m/>
    <m/>
    <m/>
    <m/>
  </r>
  <r>
    <s v="Total général"/>
    <x v="17"/>
    <n v="23420"/>
    <x v="3"/>
    <x v="1"/>
    <x v="28"/>
    <x v="1"/>
    <x v="21"/>
    <x v="63"/>
    <n v="336"/>
    <n v="28"/>
    <n v="45"/>
    <n v="12959"/>
    <n v="10"/>
    <n v="1114"/>
    <n v="991"/>
    <n v="181"/>
    <n v="6587"/>
    <n v="3300"/>
    <n v="275"/>
    <n v="2690"/>
    <n v="142"/>
    <n v="2129"/>
    <n v="4"/>
    <n v="1500"/>
    <n v="8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43">
  <r>
    <n v="34001"/>
    <x v="0"/>
    <s v="Abeilhan"/>
    <s v="C"/>
    <n v="0.10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n v="23"/>
    <n v="6.5759637188208613"/>
    <n v="3.9682539682539679"/>
    <n v="2.6077097505668934"/>
  </r>
  <r>
    <n v="34002"/>
    <x v="1"/>
    <s v="Adissan"/>
    <s v="C"/>
    <n v="0.14799999999999999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  <x v="1"/>
    <n v="26"/>
    <n v="7.3619631901840492"/>
    <n v="3.3742331288343559"/>
    <n v="3.9877300613496933"/>
  </r>
  <r>
    <n v="34003"/>
    <x v="1"/>
    <s v="Agde"/>
    <s v="B1"/>
    <n v="0.10299999999999999"/>
    <m/>
    <m/>
    <m/>
    <n v="2"/>
    <n v="19"/>
    <n v="0"/>
    <n v="0"/>
    <n v="3"/>
    <n v="0"/>
    <n v="1"/>
    <n v="10"/>
    <n v="0"/>
    <n v="1"/>
    <n v="7"/>
    <n v="5"/>
    <n v="0"/>
    <n v="3"/>
    <n v="2"/>
    <n v="0"/>
    <n v="0"/>
    <n v="0"/>
    <n v="0"/>
    <n v="3"/>
    <n v="2"/>
    <x v="2"/>
    <x v="2"/>
    <x v="2"/>
    <n v="552"/>
    <n v="4.4115806599641232"/>
    <n v="3.260189395519586"/>
    <n v="1.1513912644445372"/>
  </r>
  <r>
    <n v="34004"/>
    <x v="2"/>
    <s v="Agel"/>
    <s v="C"/>
    <n v="0.1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3"/>
    <x v="3"/>
    <n v="19"/>
    <n v="16.923076923076923"/>
    <n v="7.1794871794871788"/>
    <n v="9.7435897435897445"/>
  </r>
  <r>
    <n v="34005"/>
    <x v="3"/>
    <s v="Agonè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06"/>
    <x v="2"/>
    <s v="Aigne"/>
    <s v="C"/>
    <n v="0.193"/>
    <m/>
    <m/>
    <m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07"/>
    <x v="2"/>
    <s v="Aigues-Vives"/>
    <s v="C"/>
    <n v="9.6000000000000002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5"/>
    <x v="3"/>
    <n v="28"/>
    <n v="11.170212765957446"/>
    <n v="3.7234042553191489"/>
    <n v="7.4468085106382977"/>
  </r>
  <r>
    <n v="34008"/>
    <x v="4"/>
    <s v="Les Aires"/>
    <s v="C"/>
    <n v="0.14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09"/>
    <x v="5"/>
    <s v="Alignan-du-Vent"/>
    <s v="C"/>
    <n v="0.15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  <x v="6"/>
    <x v="5"/>
    <n v="27"/>
    <n v="7.5150300601202407"/>
    <n v="4.8096192384769543"/>
    <n v="2.7054108216432864"/>
  </r>
  <r>
    <n v="34010"/>
    <x v="6"/>
    <s v="Aniane"/>
    <s v="C"/>
    <n v="0.121"/>
    <m/>
    <m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x v="7"/>
    <x v="7"/>
    <x v="6"/>
    <n v="43"/>
    <n v="8.3172147001934231"/>
    <n v="5.5448098001289488"/>
    <n v="2.7724049000644744"/>
  </r>
  <r>
    <n v="34011"/>
    <x v="6"/>
    <s v="Arbora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12"/>
    <x v="6"/>
    <s v="Argelliers"/>
    <s v="C"/>
    <n v="5.6000000000000001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13"/>
    <x v="7"/>
    <s v="Aspiran"/>
    <s v="C"/>
    <n v="0.118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x v="8"/>
    <x v="7"/>
    <n v="59"/>
    <n v="12.203389830508476"/>
    <n v="5.536723163841808"/>
    <n v="6.666666666666667"/>
  </r>
  <r>
    <n v="34014"/>
    <x v="8"/>
    <s v="Assas"/>
    <s v="A"/>
    <s v="NC"/>
    <m/>
    <m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15"/>
    <x v="9"/>
    <s v="Assignan"/>
    <s v="C"/>
    <s v="NC"/>
    <m/>
    <m/>
    <m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16"/>
    <x v="6"/>
    <s v="Aumelas"/>
    <s v="C"/>
    <n v="8.5999999999999993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17"/>
    <x v="1"/>
    <s v="Aumes"/>
    <s v="C"/>
    <n v="0.14099999999999999"/>
    <m/>
    <m/>
    <m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x v="9"/>
    <x v="9"/>
    <x v="8"/>
    <n v="11"/>
    <n v="8.9041095890410951"/>
    <n v="5.1369863013698627"/>
    <n v="3.7671232876712328"/>
  </r>
  <r>
    <n v="34018"/>
    <x v="0"/>
    <s v="Autignac"/>
    <s v="C"/>
    <n v="0.143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  <x v="0"/>
    <x v="9"/>
    <n v="22"/>
    <n v="9.2209856915739277"/>
    <n v="5.7233704292527827"/>
    <n v="3.4976152623211445"/>
  </r>
  <r>
    <n v="34019"/>
    <x v="4"/>
    <s v="Avène"/>
    <s v="C"/>
    <n v="0.167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10"/>
    <x v="10"/>
    <n v="23"/>
    <n v="10.493827160493826"/>
    <n v="5.761316872427984"/>
    <n v="4.7325102880658436"/>
  </r>
  <r>
    <n v="34020"/>
    <x v="2"/>
    <s v="Azillanet"/>
    <s v="C"/>
    <n v="0.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11"/>
    <x v="11"/>
    <n v="37"/>
    <n v="18.597560975609756"/>
    <n v="7.3170731707317067"/>
    <n v="11.280487804878049"/>
  </r>
  <r>
    <n v="34021"/>
    <x v="9"/>
    <s v="Babeau-Bouldoux"/>
    <s v="C"/>
    <n v="0.165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  <x v="3"/>
    <x v="3"/>
    <n v="19"/>
    <n v="13.095238095238097"/>
    <n v="5.5555555555555554"/>
    <n v="7.5396825396825395"/>
  </r>
  <r>
    <n v="34022"/>
    <x v="10"/>
    <s v="Baillargues"/>
    <s v="B1"/>
    <n v="2.7E-2"/>
    <m/>
    <m/>
    <m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x v="14"/>
    <x v="12"/>
    <x v="12"/>
    <n v="36"/>
    <n v="6.4616340478409446"/>
    <n v="5.3432743087915497"/>
    <n v="1.1183597390493942"/>
  </r>
  <r>
    <n v="34023"/>
    <x v="11"/>
    <s v="Balaruc-les-Bains"/>
    <s v="B1"/>
    <n v="4.1000000000000002E-2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x v="15"/>
    <x v="13"/>
    <x v="13"/>
    <n v="87"/>
    <n v="5.8754920542353117"/>
    <n v="4.6070855809884819"/>
    <n v="1.268406473246829"/>
  </r>
  <r>
    <n v="34024"/>
    <x v="11"/>
    <s v="Balaruc-le-Vieux"/>
    <s v="B1"/>
    <n v="5.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25"/>
    <x v="5"/>
    <s v="Bassan"/>
    <s v="B2"/>
    <n v="9.8000000000000004E-2"/>
    <m/>
    <m/>
    <m/>
    <n v="0"/>
    <n v="3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x v="16"/>
    <x v="6"/>
    <x v="14"/>
    <n v="24"/>
    <n v="6.5905096660808429"/>
    <n v="4.4815465729349739"/>
    <n v="2.1089630931458698"/>
  </r>
  <r>
    <n v="34026"/>
    <x v="2"/>
    <s v="Beaufort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4"/>
    <x v="15"/>
    <n v="13"/>
    <n v="12.903225806451612"/>
    <n v="5.913978494623656"/>
    <n v="6.9892473118279561"/>
  </r>
  <r>
    <n v="34027"/>
    <x v="10"/>
    <s v="Beaulieu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5"/>
    <x v="16"/>
    <n v="17"/>
    <n v="4.8245614035087714"/>
    <n v="2.9605263157894735"/>
    <n v="1.8640350877192982"/>
  </r>
  <r>
    <n v="34028"/>
    <x v="4"/>
    <s v="Bédarieux"/>
    <s v="C"/>
    <n v="0.20300000000000001"/>
    <m/>
    <m/>
    <m/>
    <n v="0"/>
    <n v="0"/>
    <n v="0"/>
    <n v="0"/>
    <n v="6"/>
    <n v="5"/>
    <n v="0"/>
    <n v="2"/>
    <n v="0"/>
    <n v="0"/>
    <n v="4"/>
    <n v="0"/>
    <n v="0"/>
    <n v="2"/>
    <n v="0"/>
    <n v="0"/>
    <n v="0"/>
    <n v="0"/>
    <n v="0"/>
    <n v="2"/>
    <n v="0"/>
    <x v="19"/>
    <x v="16"/>
    <x v="17"/>
    <n v="494"/>
    <n v="19.237108547209793"/>
    <n v="7.6053684954085234"/>
    <n v="11.631740051801271"/>
  </r>
  <r>
    <n v="34029"/>
    <x v="6"/>
    <s v="Bélarga"/>
    <s v="C"/>
    <n v="8.5000000000000006E-2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7"/>
    <x v="18"/>
    <n v="15"/>
    <n v="9.6273291925465845"/>
    <n v="4.9689440993788816"/>
    <n v="4.658385093167702"/>
  </r>
  <r>
    <n v="34030"/>
    <x v="2"/>
    <s v="Berlou"/>
    <s v="C"/>
    <s v="NC"/>
    <m/>
    <m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31"/>
    <x v="1"/>
    <s v="Bessan"/>
    <s v="C"/>
    <n v="0.182"/>
    <m/>
    <m/>
    <m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x v="21"/>
    <x v="18"/>
    <x v="19"/>
    <n v="84"/>
    <n v="9.0737951807228914"/>
    <n v="5.9111445783132526"/>
    <n v="3.1626506024096384"/>
  </r>
  <r>
    <n v="34032"/>
    <x v="5"/>
    <s v="Béziers"/>
    <s v="B2"/>
    <n v="0.20499999999999999"/>
    <m/>
    <m/>
    <m/>
    <n v="6"/>
    <n v="12"/>
    <n v="1"/>
    <n v="25"/>
    <n v="2"/>
    <n v="0"/>
    <n v="10"/>
    <n v="0"/>
    <n v="0"/>
    <n v="17"/>
    <n v="39"/>
    <n v="3"/>
    <n v="3"/>
    <n v="29"/>
    <n v="1"/>
    <n v="1"/>
    <n v="24"/>
    <n v="1"/>
    <n v="2"/>
    <n v="5"/>
    <n v="0"/>
    <x v="22"/>
    <x v="19"/>
    <x v="20"/>
    <n v="2546"/>
    <n v="16.409722222222221"/>
    <n v="10.516203703703704"/>
    <n v="5.893518518518519"/>
  </r>
  <r>
    <n v="34033"/>
    <x v="12"/>
    <s v="Boisseron"/>
    <s v="C"/>
    <n v="4.299999999999999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  <x v="20"/>
    <x v="21"/>
    <n v="28"/>
    <n v="7.419354838709677"/>
    <n v="4.408602150537634"/>
    <n v="3.010752688172043"/>
  </r>
  <r>
    <n v="34034"/>
    <x v="2"/>
    <s v="Boisset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35"/>
    <x v="6"/>
    <s v="La Boissière"/>
    <s v="C"/>
    <n v="5.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36"/>
    <x v="13"/>
    <s v="Le Bosc"/>
    <s v="C"/>
    <n v="0.101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  <x v="21"/>
    <x v="22"/>
    <n v="33"/>
    <n v="8.3437110834371104"/>
    <n v="4.2341220423412205"/>
    <n v="4.10958904109589"/>
  </r>
  <r>
    <n v="34037"/>
    <x v="5"/>
    <s v="Boujan-sur-Libron"/>
    <s v="B2"/>
    <n v="8.1000000000000003E-2"/>
    <m/>
    <m/>
    <m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x v="25"/>
    <x v="22"/>
    <x v="23"/>
    <n v="51"/>
    <n v="10.478359908883828"/>
    <n v="7.5740318906605912"/>
    <n v="2.9043280182232345"/>
  </r>
  <r>
    <n v="34038"/>
    <x v="4"/>
    <s v="Le Bousquet-d'Orb"/>
    <s v="C"/>
    <n v="0.15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  <x v="23"/>
    <x v="24"/>
    <n v="109"/>
    <n v="17.513611615245008"/>
    <n v="7.6225045372050815"/>
    <n v="9.8911070780399282"/>
  </r>
  <r>
    <n v="34039"/>
    <x v="11"/>
    <s v="Bouzigues"/>
    <s v="B2"/>
    <n v="8.799999999999999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7"/>
    <x v="24"/>
    <x v="25"/>
    <n v="18"/>
    <n v="6.9679849340866298"/>
    <n v="5.2730696798493408"/>
    <n v="1.6949152542372881"/>
  </r>
  <r>
    <n v="34040"/>
    <x v="4"/>
    <s v="Brena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41"/>
    <x v="7"/>
    <s v="Brignac"/>
    <s v="C"/>
    <n v="8.2000000000000003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42"/>
    <x v="3"/>
    <s v="Brissac"/>
    <s v="C"/>
    <n v="0.1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  <x v="25"/>
    <x v="26"/>
    <n v="13"/>
    <n v="9.819121447028424"/>
    <n v="6.459948320413436"/>
    <n v="3.3591731266149871"/>
  </r>
  <r>
    <n v="34043"/>
    <x v="8"/>
    <s v="Buzignargu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44"/>
    <x v="0"/>
    <s v="Cabrerolles"/>
    <s v="C"/>
    <n v="0.18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9"/>
    <x v="26"/>
    <x v="3"/>
    <n v="13"/>
    <n v="9.183673469387756"/>
    <n v="4.7619047619047619"/>
    <n v="4.4217687074829932"/>
  </r>
  <r>
    <n v="34045"/>
    <x v="7"/>
    <s v="Cabrières"/>
    <s v="C"/>
    <n v="0.135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0"/>
    <x v="15"/>
    <x v="11"/>
    <n v="20"/>
    <n v="12.5"/>
    <n v="6.8181818181818175"/>
    <n v="5.6818181818181817"/>
  </r>
  <r>
    <n v="34046"/>
    <x v="14"/>
    <s v="Cambon-et-Salvergu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47"/>
    <x v="6"/>
    <s v="Campagnan"/>
    <s v="C"/>
    <n v="9.6000000000000002E-2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48"/>
    <x v="12"/>
    <s v="Campagn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49"/>
    <x v="4"/>
    <s v="Camplong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50"/>
    <x v="15"/>
    <s v="Candillargues"/>
    <s v="B2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51"/>
    <x v="7"/>
    <s v="Canet"/>
    <s v="C"/>
    <n v="0.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  <x v="27"/>
    <x v="27"/>
    <n v="41"/>
    <n v="6.9300518134715023"/>
    <n v="4.2746113989637307"/>
    <n v="2.6554404145077721"/>
  </r>
  <r>
    <n v="34052"/>
    <x v="9"/>
    <s v="Capestang"/>
    <s v="C"/>
    <n v="0.15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  <x v="28"/>
    <x v="28"/>
    <n v="106"/>
    <n v="12.167906482465462"/>
    <n v="6.5356004250797035"/>
    <n v="5.63230605738576"/>
  </r>
  <r>
    <n v="34053"/>
    <x v="4"/>
    <s v="Carlencas-et-Levas"/>
    <s v="C"/>
    <s v="NC"/>
    <m/>
    <m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54"/>
    <x v="2"/>
    <s v="Cassagnol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55"/>
    <x v="14"/>
    <s v="Castanet-le-Haut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3"/>
    <x v="29"/>
    <x v="29"/>
    <n v="13"/>
    <n v="11.848341232227488"/>
    <n v="5.6872037914691944"/>
    <n v="6.1611374407582939"/>
  </r>
  <r>
    <n v="34056"/>
    <x v="1"/>
    <s v="Castelnau-de-Guers"/>
    <s v="C"/>
    <n v="0.164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57"/>
    <x v="10"/>
    <s v="Castelnau-le-Lez"/>
    <s v="A"/>
    <n v="2.3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4"/>
    <x v="30"/>
    <x v="30"/>
    <n v="81"/>
    <n v="9.05606560299492"/>
    <n v="8.3340761208663885"/>
    <n v="0.72198948212853198"/>
  </r>
  <r>
    <n v="34058"/>
    <x v="10"/>
    <s v="Castries"/>
    <s v="B1"/>
    <n v="4.1000000000000002E-2"/>
    <m/>
    <m/>
    <m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x v="35"/>
    <x v="31"/>
    <x v="31"/>
    <n v="39"/>
    <n v="6.5897244973938935"/>
    <n v="5.137751303052867"/>
    <n v="1.4519731943410277"/>
  </r>
  <r>
    <n v="34059"/>
    <x v="2"/>
    <s v="La Caunette"/>
    <s v="C"/>
    <n v="0.197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6"/>
    <x v="32"/>
    <x v="18"/>
    <n v="24"/>
    <n v="14.925373134328357"/>
    <n v="5.9701492537313428"/>
    <n v="8.9552238805970141"/>
  </r>
  <r>
    <n v="34060"/>
    <x v="8"/>
    <s v="Causse-de-la-Sell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61"/>
    <x v="0"/>
    <s v="Causses-et-Veyran"/>
    <s v="C"/>
    <n v="0.24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  <x v="1"/>
    <x v="32"/>
    <n v="22"/>
    <n v="10.367170626349893"/>
    <n v="5.615550755939525"/>
    <n v="4.7516198704103676"/>
  </r>
  <r>
    <n v="34062"/>
    <x v="0"/>
    <s v="Caussiniojoul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63"/>
    <x v="1"/>
    <s v="Caux"/>
    <s v="C"/>
    <n v="0.123"/>
    <m/>
    <m/>
    <m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x v="38"/>
    <x v="33"/>
    <x v="24"/>
    <n v="54"/>
    <n v="9.0491803278688518"/>
    <n v="5.5081967213114762"/>
    <n v="3.540983606557377"/>
  </r>
  <r>
    <n v="34064"/>
    <x v="13"/>
    <s v="Le Caylar"/>
    <s v="C"/>
    <n v="0.174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  <x v="32"/>
    <x v="18"/>
    <n v="24"/>
    <n v="12.779552715654951"/>
    <n v="5.1118210862619806"/>
    <n v="7.6677316293929714"/>
  </r>
  <r>
    <n v="34065"/>
    <x v="9"/>
    <s v="Cazedarnes"/>
    <s v="C"/>
    <n v="0.177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  <x v="32"/>
    <x v="29"/>
    <n v="28"/>
    <n v="12.121212121212121"/>
    <n v="3.6363636363636362"/>
    <n v="8.4848484848484862"/>
  </r>
  <r>
    <n v="34066"/>
    <x v="8"/>
    <s v="Cazevieill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67"/>
    <x v="3"/>
    <s v="Cazilhac"/>
    <s v="C"/>
    <n v="6.5000000000000002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  <x v="34"/>
    <x v="33"/>
    <n v="35"/>
    <n v="9.9882491186838998"/>
    <n v="5.8754406580493539"/>
    <n v="4.1128084606345476"/>
  </r>
  <r>
    <n v="34068"/>
    <x v="1"/>
    <s v="Cazouls-d'Hérault"/>
    <s v="C"/>
    <n v="0.22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69"/>
    <x v="16"/>
    <s v="Cazouls-lès-Béziers"/>
    <s v="C"/>
    <n v="0.113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2"/>
    <x v="35"/>
    <x v="34"/>
    <n v="157"/>
    <n v="11.064156742220515"/>
    <n v="5.0326546292739147"/>
    <n v="6.0315021129466002"/>
  </r>
  <r>
    <n v="34070"/>
    <x v="9"/>
    <s v="Cébazan"/>
    <s v="C"/>
    <n v="0.15"/>
    <m/>
    <m/>
    <m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x v="43"/>
    <x v="36"/>
    <x v="35"/>
    <n v="33"/>
    <n v="13.368983957219251"/>
    <n v="4.5454545454545459"/>
    <n v="8.8235294117647065"/>
  </r>
  <r>
    <n v="34071"/>
    <x v="4"/>
    <s v="Ceilhes-et-Rocozels"/>
    <s v="C"/>
    <n v="0.2949999999999999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  <x v="37"/>
    <x v="36"/>
    <n v="20"/>
    <n v="12.5"/>
    <n v="6.4024390243902438"/>
    <n v="6.0975609756097562"/>
  </r>
  <r>
    <n v="34072"/>
    <x v="13"/>
    <s v="Cell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73"/>
    <x v="5"/>
    <s v="Cers"/>
    <s v="B2"/>
    <n v="0.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4"/>
    <x v="38"/>
    <x v="37"/>
    <n v="24"/>
    <n v="6.506849315068493"/>
    <n v="4.4520547945205475"/>
    <n v="2.054794520547945"/>
  </r>
  <r>
    <n v="34074"/>
    <x v="9"/>
    <s v="Cessenon-sur-Orb"/>
    <s v="C"/>
    <n v="0.15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  <x v="39"/>
    <x v="38"/>
    <n v="97"/>
    <n v="10.869565217391305"/>
    <n v="4.2798913043478262"/>
    <n v="6.5896739130434785"/>
  </r>
  <r>
    <n v="34075"/>
    <x v="2"/>
    <s v="Cesseras"/>
    <s v="C"/>
    <n v="0.16800000000000001"/>
    <m/>
    <m/>
    <m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x v="46"/>
    <x v="40"/>
    <x v="35"/>
    <n v="30"/>
    <n v="13.46704871060172"/>
    <n v="4.8710601719197708"/>
    <n v="8.5959885386819472"/>
  </r>
  <r>
    <n v="34076"/>
    <x v="7"/>
    <s v="Ceyras"/>
    <s v="C"/>
    <n v="0.11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  <x v="25"/>
    <x v="39"/>
    <n v="18"/>
    <n v="5.984251968503937"/>
    <n v="3.1496062992125982"/>
    <n v="2.8346456692913384"/>
  </r>
  <r>
    <n v="34077"/>
    <x v="10"/>
    <s v="Clapiers"/>
    <s v="A"/>
    <n v="8.9999999999999993E-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8"/>
    <x v="41"/>
    <x v="40"/>
    <n v="21"/>
    <n v="5.6158565361019344"/>
    <n v="4.6248230297310053"/>
    <n v="0.9910335063709298"/>
  </r>
  <r>
    <n v="34078"/>
    <x v="8"/>
    <s v="Claret"/>
    <s v="C"/>
    <n v="4.2999999999999997E-2"/>
    <m/>
    <m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9"/>
    <x v="36"/>
    <x v="41"/>
    <n v="19"/>
    <n v="6.1728395061728394"/>
    <n v="3.8271604938271606"/>
    <n v="2.3456790123456792"/>
  </r>
  <r>
    <n v="34079"/>
    <x v="7"/>
    <s v="Clermont-l'Hérault"/>
    <s v="C"/>
    <n v="0.11600000000000001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x v="50"/>
    <x v="42"/>
    <x v="42"/>
    <n v="287"/>
    <n v="12.290748898678414"/>
    <n v="5.9691629955947141"/>
    <n v="6.3215859030837001"/>
  </r>
  <r>
    <n v="34080"/>
    <x v="2"/>
    <s v="Colombières-sur-Orb"/>
    <s v="C"/>
    <n v="7.4999999999999997E-2"/>
    <m/>
    <m/>
    <m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x v="51"/>
    <x v="43"/>
    <x v="15"/>
    <n v="17"/>
    <n v="7.5675675675675684"/>
    <n v="2.9729729729729732"/>
    <n v="4.5945945945945947"/>
  </r>
  <r>
    <n v="34081"/>
    <x v="16"/>
    <s v="Colombiers"/>
    <s v="C"/>
    <n v="8.1000000000000003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2"/>
    <x v="44"/>
    <x v="43"/>
    <n v="45"/>
    <n v="7.808764940239044"/>
    <n v="4.2231075697211153"/>
    <n v="3.5856573705179287"/>
  </r>
  <r>
    <n v="34082"/>
    <x v="8"/>
    <s v="Combaillaux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  <x v="3"/>
    <x v="1"/>
    <n v="11"/>
    <n v="4.3650793650793647"/>
    <n v="2.9100529100529098"/>
    <n v="1.4550264550264549"/>
  </r>
  <r>
    <n v="34083"/>
    <x v="4"/>
    <s v="Combes"/>
    <s v="C"/>
    <n v="0.211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84"/>
    <x v="5"/>
    <s v="Corneilhan"/>
    <s v="B2"/>
    <n v="0.10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4"/>
    <x v="45"/>
    <x v="7"/>
    <n v="47"/>
    <n v="10.584343991179713"/>
    <n v="5.4024255788313127"/>
    <n v="5.1819184123484012"/>
  </r>
  <r>
    <n v="34085"/>
    <x v="5"/>
    <s v="Coulobres"/>
    <s v="C"/>
    <n v="0.12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86"/>
    <x v="2"/>
    <s v="Courniou"/>
    <s v="C"/>
    <n v="0.118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5"/>
    <x v="24"/>
    <x v="36"/>
    <n v="53"/>
    <n v="13.703703703703704"/>
    <n v="3.8888888888888888"/>
    <n v="9.8148148148148149"/>
  </r>
  <r>
    <n v="34087"/>
    <x v="10"/>
    <s v="Cournonsec"/>
    <s v="B1"/>
    <n v="4.399999999999999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6"/>
    <x v="46"/>
    <x v="33"/>
    <n v="18"/>
    <n v="5.4313099041533546"/>
    <n v="3.9936102236421722"/>
    <n v="1.4376996805111821"/>
  </r>
  <r>
    <n v="34088"/>
    <x v="10"/>
    <s v="Cournonterral"/>
    <s v="B1"/>
    <n v="6.9000000000000006E-2"/>
    <m/>
    <m/>
    <m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x v="57"/>
    <x v="47"/>
    <x v="44"/>
    <n v="54"/>
    <n v="7.4520936834634499"/>
    <n v="5.5358410220014189"/>
    <n v="1.9162526614620299"/>
  </r>
  <r>
    <n v="34089"/>
    <x v="9"/>
    <s v="Creissan"/>
    <s v="C"/>
    <n v="8.6999999999999994E-2"/>
    <m/>
    <m/>
    <m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8"/>
    <x v="36"/>
    <x v="16"/>
    <n v="23"/>
    <n v="7.5642965204236008"/>
    <n v="4.0847201210287443"/>
    <n v="3.4795763993948561"/>
  </r>
  <r>
    <n v="34090"/>
    <x v="10"/>
    <s v="Le Crès"/>
    <s v="A"/>
    <n v="1.4E-2"/>
    <m/>
    <m/>
    <m/>
    <n v="0"/>
    <n v="0"/>
    <n v="0"/>
    <n v="0"/>
    <n v="0"/>
    <n v="0"/>
    <n v="0"/>
    <n v="0"/>
    <n v="0"/>
    <n v="1"/>
    <n v="0"/>
    <n v="0"/>
    <n v="2"/>
    <n v="1"/>
    <n v="0"/>
    <n v="1"/>
    <n v="1"/>
    <n v="0"/>
    <n v="1"/>
    <n v="0"/>
    <n v="0"/>
    <x v="59"/>
    <x v="48"/>
    <x v="19"/>
    <n v="26"/>
    <n v="4.6564885496183201"/>
    <n v="3.9949109414758275"/>
    <n v="0.66157760814249367"/>
  </r>
  <r>
    <n v="34091"/>
    <x v="13"/>
    <s v="Le Cro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92"/>
    <x v="9"/>
    <s v="Cruzy"/>
    <s v="C"/>
    <n v="0.162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8"/>
    <x v="49"/>
    <x v="22"/>
    <n v="50"/>
    <n v="12.708018154311649"/>
    <n v="5.1437216338880489"/>
    <n v="7.5642965204236008"/>
  </r>
  <r>
    <n v="34093"/>
    <x v="4"/>
    <s v="Dio-et-Valquièr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94"/>
    <x v="5"/>
    <s v="Espondeilhan"/>
    <s v="C"/>
    <n v="0.117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0"/>
    <x v="50"/>
    <x v="45"/>
    <n v="23"/>
    <n v="9.0592334494773521"/>
    <n v="5.0522648083623691"/>
    <n v="4.0069686411149821"/>
  </r>
  <r>
    <n v="34095"/>
    <x v="10"/>
    <s v="Fabrègues"/>
    <s v="A"/>
    <n v="4.2000000000000003E-2"/>
    <m/>
    <m/>
    <m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x v="61"/>
    <x v="51"/>
    <x v="46"/>
    <n v="45"/>
    <n v="5.8358662613981762"/>
    <n v="4.4680851063829792"/>
    <n v="1.3677811550151975"/>
  </r>
  <r>
    <n v="34096"/>
    <x v="0"/>
    <s v="Faugères"/>
    <s v="C"/>
    <n v="0.15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2"/>
    <x v="3"/>
    <x v="47"/>
    <n v="15"/>
    <n v="7.6388888888888893"/>
    <n v="4.1666666666666661"/>
    <n v="3.4722222222222223"/>
  </r>
  <r>
    <n v="34097"/>
    <x v="2"/>
    <s v="Félines-Minervois"/>
    <s v="C"/>
    <n v="0.163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3"/>
    <x v="50"/>
    <x v="18"/>
    <n v="36"/>
    <n v="13.903743315508022"/>
    <n v="4.2780748663101598"/>
    <n v="9.6256684491978604"/>
  </r>
  <r>
    <n v="34098"/>
    <x v="2"/>
    <s v="Ferrals-les-Montagn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099"/>
    <x v="8"/>
    <s v="Ferrières-les-Verreri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00"/>
    <x v="2"/>
    <s v="Ferrières-Poussarou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01"/>
    <x v="1"/>
    <s v="Florensac"/>
    <s v="C"/>
    <n v="0.156"/>
    <m/>
    <m/>
    <m/>
    <n v="0"/>
    <n v="0"/>
    <n v="0"/>
    <n v="0"/>
    <n v="1"/>
    <n v="0"/>
    <n v="0"/>
    <n v="1"/>
    <n v="0"/>
    <n v="0"/>
    <n v="3"/>
    <n v="0"/>
    <n v="0"/>
    <n v="2"/>
    <n v="0"/>
    <n v="0"/>
    <n v="0"/>
    <n v="0"/>
    <n v="0"/>
    <n v="2"/>
    <n v="0"/>
    <x v="63"/>
    <x v="52"/>
    <x v="12"/>
    <n v="170"/>
    <n v="12.445414847161572"/>
    <n v="6.2590975254730719"/>
    <n v="6.1863173216885015"/>
  </r>
  <r>
    <n v="34102"/>
    <x v="8"/>
    <s v="Fontanè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03"/>
    <x v="7"/>
    <s v="Fontès"/>
    <s v="C"/>
    <n v="0.13200000000000001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  <x v="53"/>
    <x v="0"/>
    <n v="31"/>
    <n v="10.696920583468396"/>
    <n v="5.6726094003241485"/>
    <n v="5.0243111831442464"/>
  </r>
  <r>
    <n v="34104"/>
    <x v="0"/>
    <s v="Fo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05"/>
    <x v="0"/>
    <s v="Fouzilho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06"/>
    <x v="13"/>
    <s v="Fozièr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07"/>
    <x v="14"/>
    <s v="Fraisse-sur-Agout"/>
    <s v="C"/>
    <n v="0.22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5"/>
    <x v="54"/>
    <x v="39"/>
    <n v="33"/>
    <n v="13.316582914572864"/>
    <n v="5.025125628140704"/>
    <n v="8.291457286432161"/>
  </r>
  <r>
    <n v="34108"/>
    <x v="11"/>
    <s v="Frontignan"/>
    <s v="B1"/>
    <n v="6.3E-2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6"/>
    <x v="55"/>
    <x v="48"/>
    <n v="150"/>
    <n v="7.0231506742536434"/>
    <n v="5.8539247018473777"/>
    <n v="1.169225972406267"/>
  </r>
  <r>
    <n v="34109"/>
    <x v="0"/>
    <s v="Gabian"/>
    <s v="C"/>
    <n v="0.193"/>
    <m/>
    <m/>
    <m/>
    <n v="0"/>
    <n v="0"/>
    <n v="0"/>
    <n v="0"/>
    <n v="1"/>
    <n v="0"/>
    <n v="0"/>
    <n v="3"/>
    <n v="0"/>
    <n v="0"/>
    <n v="0"/>
    <n v="0"/>
    <n v="0"/>
    <n v="3"/>
    <n v="0"/>
    <n v="0"/>
    <n v="0"/>
    <n v="0"/>
    <n v="0"/>
    <n v="3"/>
    <n v="0"/>
    <x v="67"/>
    <x v="56"/>
    <x v="49"/>
    <n v="47"/>
    <n v="13.513513513513514"/>
    <n v="5.5743243243243246"/>
    <n v="7.9391891891891886"/>
  </r>
  <r>
    <n v="34110"/>
    <x v="12"/>
    <s v="Galargues"/>
    <s v="C"/>
    <n v="9.5000000000000001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11"/>
    <x v="3"/>
    <s v="Ganges"/>
    <s v="C"/>
    <n v="0.17699999999999999"/>
    <m/>
    <m/>
    <m/>
    <n v="0"/>
    <n v="0"/>
    <n v="0"/>
    <n v="0"/>
    <n v="6"/>
    <n v="0"/>
    <n v="0"/>
    <n v="3"/>
    <n v="0"/>
    <n v="0"/>
    <n v="1"/>
    <n v="0"/>
    <n v="0"/>
    <n v="2"/>
    <n v="0"/>
    <n v="0"/>
    <n v="0"/>
    <n v="0"/>
    <n v="0"/>
    <n v="2"/>
    <n v="0"/>
    <x v="68"/>
    <x v="57"/>
    <x v="50"/>
    <n v="274"/>
    <n v="20.099350401222775"/>
    <n v="9.6293465800534968"/>
    <n v="10.470003821169279"/>
  </r>
  <r>
    <n v="34112"/>
    <x v="12"/>
    <s v="Garrigu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13"/>
    <x v="11"/>
    <s v="Gigean"/>
    <s v="B1"/>
    <n v="6.6000000000000003E-2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x v="69"/>
    <x v="58"/>
    <x v="51"/>
    <n v="46"/>
    <n v="6.05833956619297"/>
    <n v="4.3380703066566939"/>
    <n v="1.7202692595362752"/>
  </r>
  <r>
    <n v="34114"/>
    <x v="6"/>
    <s v="Gignac"/>
    <s v="C"/>
    <n v="0.114"/>
    <m/>
    <m/>
    <m/>
    <n v="0"/>
    <n v="0"/>
    <n v="0"/>
    <n v="0"/>
    <n v="3"/>
    <n v="0"/>
    <n v="0"/>
    <n v="0"/>
    <n v="0"/>
    <n v="0"/>
    <n v="3"/>
    <n v="0"/>
    <n v="0"/>
    <n v="0"/>
    <n v="0"/>
    <n v="0"/>
    <n v="0"/>
    <n v="0"/>
    <n v="0"/>
    <n v="0"/>
    <n v="0"/>
    <x v="70"/>
    <x v="59"/>
    <x v="52"/>
    <n v="89"/>
    <n v="8.2034149962880463"/>
    <n v="4.8997772828507795"/>
    <n v="3.3036377134372676"/>
  </r>
  <r>
    <n v="34115"/>
    <x v="3"/>
    <s v="Gorniès"/>
    <s v="C"/>
    <s v="NC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16"/>
    <x v="10"/>
    <s v="Grabels"/>
    <s v="A"/>
    <n v="1.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1"/>
    <x v="60"/>
    <x v="53"/>
    <n v="23"/>
    <n v="9.2806841046277668"/>
    <n v="8.7022132796780678"/>
    <n v="0.57847082494969815"/>
  </r>
  <r>
    <n v="34117"/>
    <x v="4"/>
    <s v="Graissessac"/>
    <s v="C"/>
    <n v="0.164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2"/>
    <x v="61"/>
    <x v="0"/>
    <n v="100"/>
    <n v="20.089285714285715"/>
    <n v="5.2083333333333339"/>
    <n v="14.880952380952381"/>
  </r>
  <r>
    <n v="34118"/>
    <x v="8"/>
    <s v="Guzargu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19"/>
    <x v="4"/>
    <s v="Hérépian"/>
    <s v="C"/>
    <n v="0.10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3"/>
    <x v="8"/>
    <x v="38"/>
    <n v="45"/>
    <n v="11.15702479338843"/>
    <n v="6.508264462809918"/>
    <n v="4.6487603305785123"/>
  </r>
  <r>
    <n v="34120"/>
    <x v="10"/>
    <s v="Jacou"/>
    <s v="A"/>
    <n v="1.2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21"/>
    <x v="4"/>
    <s v="Joncels"/>
    <s v="C"/>
    <n v="0.211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22"/>
    <x v="6"/>
    <s v="Jonquières"/>
    <s v="C"/>
    <n v="0.146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23"/>
    <x v="10"/>
    <s v="Juvignac"/>
    <s v="A"/>
    <n v="1.7999999999999999E-2"/>
    <m/>
    <m/>
    <m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x v="74"/>
    <x v="62"/>
    <x v="54"/>
    <n v="35"/>
    <n v="8.1554878048780495"/>
    <n v="7.4885670731707323"/>
    <n v="0.66692073170731703"/>
  </r>
  <r>
    <n v="34124"/>
    <x v="7"/>
    <s v="Lacost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25"/>
    <x v="6"/>
    <s v="Lagama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26"/>
    <x v="4"/>
    <s v="Lamalou-les-Bains"/>
    <s v="C"/>
    <n v="0.1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8"/>
    <x v="63"/>
    <x v="55"/>
    <n v="100"/>
    <n v="11.986786219915055"/>
    <n v="7.26757904672015"/>
    <n v="4.7192071731949028"/>
  </r>
  <r>
    <n v="34127"/>
    <x v="15"/>
    <s v="Lansargues"/>
    <s v="B2"/>
    <n v="3.599999999999999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5"/>
    <x v="64"/>
    <x v="56"/>
    <n v="22"/>
    <n v="7.5484301937207743"/>
    <n v="6.0788243152972612"/>
    <n v="1.4696058784235138"/>
  </r>
  <r>
    <n v="34128"/>
    <x v="3"/>
    <s v="Laroque"/>
    <s v="C"/>
    <n v="5.1999999999999998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6"/>
    <x v="45"/>
    <x v="57"/>
    <n v="38"/>
    <n v="9.9585062240663902"/>
    <n v="6.0165975103734439"/>
    <n v="3.9419087136929458"/>
  </r>
  <r>
    <n v="34129"/>
    <x v="10"/>
    <s v="Lattes"/>
    <s v="A"/>
    <n v="1.0999999999999999E-2"/>
    <m/>
    <m/>
    <m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x v="77"/>
    <x v="65"/>
    <x v="58"/>
    <n v="44"/>
    <n v="6.2917063870352719"/>
    <n v="5.7673975214489994"/>
    <n v="0.52430886558627265"/>
  </r>
  <r>
    <n v="34130"/>
    <x v="0"/>
    <s v="Laurens"/>
    <s v="C"/>
    <n v="0.137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8"/>
    <x v="66"/>
    <x v="59"/>
    <n v="44"/>
    <n v="10.029211295034079"/>
    <n v="5.744888023369036"/>
    <n v="4.2843232716650439"/>
  </r>
  <r>
    <n v="34131"/>
    <x v="8"/>
    <s v="Lauret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32"/>
    <x v="13"/>
    <s v="Lauroux"/>
    <s v="C"/>
    <n v="0.15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33"/>
    <x v="13"/>
    <s v="Lavalett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34"/>
    <x v="10"/>
    <s v="Lavérune"/>
    <s v="A"/>
    <n v="3.3000000000000002E-2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9"/>
    <x v="67"/>
    <x v="60"/>
    <n v="12"/>
    <n v="6.290207290922087"/>
    <n v="5.432451751250893"/>
    <n v="0.85775553967119367"/>
  </r>
  <r>
    <n v="34135"/>
    <x v="16"/>
    <s v="Lespignan"/>
    <s v="C"/>
    <n v="8.5999999999999993E-2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0"/>
    <x v="68"/>
    <x v="61"/>
    <n v="67"/>
    <n v="7.3788546255506615"/>
    <n v="3.6894273127753308"/>
    <n v="3.6894273127753308"/>
  </r>
  <r>
    <n v="34136"/>
    <x v="1"/>
    <s v="Lézignan-la-Cèbe"/>
    <s v="C"/>
    <n v="0.14499999999999999"/>
    <m/>
    <m/>
    <m/>
    <n v="0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x v="81"/>
    <x v="69"/>
    <x v="62"/>
    <n v="29"/>
    <n v="9.1025641025641022"/>
    <n v="5.384615384615385"/>
    <n v="3.7179487179487181"/>
  </r>
  <r>
    <n v="34137"/>
    <x v="7"/>
    <s v="Liausso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38"/>
    <x v="7"/>
    <s v="Lieuran-Cabrièr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39"/>
    <x v="5"/>
    <s v="Lieuran-lès-Béziers"/>
    <s v="B2"/>
    <n v="8.5000000000000006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2"/>
    <x v="54"/>
    <x v="63"/>
    <n v="21"/>
    <n v="7.5606276747503571"/>
    <n v="4.5649072753209703"/>
    <n v="2.9957203994293864"/>
  </r>
  <r>
    <n v="34140"/>
    <x v="5"/>
    <s v="Lignan-sur-Orb"/>
    <s v="B2"/>
    <n v="5.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3"/>
    <x v="69"/>
    <x v="64"/>
    <n v="16"/>
    <n v="4.6435578809679532"/>
    <n v="3.5971223021582732"/>
    <n v="1.0464355788096795"/>
  </r>
  <r>
    <n v="34141"/>
    <x v="2"/>
    <s v="La Livinière"/>
    <s v="C"/>
    <n v="0.14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  <x v="70"/>
    <x v="45"/>
    <n v="52"/>
    <n v="16.666666666666664"/>
    <n v="5.9670781893004117"/>
    <n v="10.699588477366255"/>
  </r>
  <r>
    <n v="34142"/>
    <x v="13"/>
    <s v="Lodève"/>
    <s v="C"/>
    <n v="0.20799999999999999"/>
    <m/>
    <m/>
    <m/>
    <n v="0"/>
    <n v="2"/>
    <n v="2"/>
    <n v="0"/>
    <n v="4"/>
    <n v="2"/>
    <n v="0"/>
    <n v="6"/>
    <n v="4"/>
    <n v="0"/>
    <n v="3"/>
    <n v="2"/>
    <n v="0"/>
    <n v="0"/>
    <n v="1"/>
    <n v="0"/>
    <n v="0"/>
    <n v="0"/>
    <n v="0"/>
    <n v="0"/>
    <n v="1"/>
    <x v="84"/>
    <x v="71"/>
    <x v="65"/>
    <n v="295"/>
    <n v="16.123229143242636"/>
    <n v="9.4895435124803242"/>
    <n v="6.6336856307623124"/>
  </r>
  <r>
    <n v="34143"/>
    <x v="11"/>
    <s v="Loupian"/>
    <s v="B2"/>
    <n v="0.118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5"/>
    <x v="72"/>
    <x v="66"/>
    <n v="32"/>
    <n v="8.2258064516129039"/>
    <n v="5.6451612903225801"/>
    <n v="2.5806451612903225"/>
  </r>
  <r>
    <n v="34144"/>
    <x v="4"/>
    <s v="Lunas"/>
    <s v="C"/>
    <n v="0.13400000000000001"/>
    <m/>
    <m/>
    <m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x v="86"/>
    <x v="73"/>
    <x v="9"/>
    <n v="26"/>
    <n v="10.214168039538714"/>
    <n v="5.930807248764415"/>
    <n v="4.2833607907743003"/>
  </r>
  <r>
    <n v="34145"/>
    <x v="12"/>
    <s v="Lunel"/>
    <s v="B1"/>
    <n v="0.104"/>
    <m/>
    <m/>
    <m/>
    <n v="0"/>
    <n v="2"/>
    <n v="1"/>
    <n v="0"/>
    <n v="0"/>
    <n v="0"/>
    <n v="2"/>
    <n v="3"/>
    <n v="3"/>
    <n v="0"/>
    <n v="1"/>
    <n v="1"/>
    <n v="0"/>
    <n v="1"/>
    <n v="0"/>
    <n v="0"/>
    <n v="0"/>
    <n v="0"/>
    <n v="0"/>
    <n v="1"/>
    <n v="0"/>
    <x v="87"/>
    <x v="74"/>
    <x v="67"/>
    <n v="348"/>
    <n v="9.7563129083524629"/>
    <n v="6.683736535405262"/>
    <n v="3.0725763729472009"/>
  </r>
  <r>
    <n v="34146"/>
    <x v="12"/>
    <s v="Lunel-Viel"/>
    <s v="B1"/>
    <n v="5.399999999999999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8"/>
    <x v="75"/>
    <x v="24"/>
    <n v="26"/>
    <n v="6.5632458233890221"/>
    <n v="5.0119331742243434"/>
    <n v="1.5513126491646778"/>
  </r>
  <r>
    <n v="34147"/>
    <x v="0"/>
    <s v="Magalas"/>
    <s v="C"/>
    <n v="0.109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9"/>
    <x v="76"/>
    <x v="68"/>
    <n v="80"/>
    <n v="9.5541401273885356"/>
    <n v="4.9218297625940943"/>
    <n v="4.6323103647944412"/>
  </r>
  <r>
    <n v="34148"/>
    <x v="16"/>
    <s v="Maraussan"/>
    <s v="B2"/>
    <n v="8.3000000000000004E-2"/>
    <m/>
    <m/>
    <m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x v="90"/>
    <x v="77"/>
    <x v="69"/>
    <n v="49"/>
    <n v="7.1226415094339623"/>
    <n v="4.8113207547169816"/>
    <n v="2.3113207547169812"/>
  </r>
  <r>
    <n v="34149"/>
    <x v="0"/>
    <s v="Margon"/>
    <s v="C"/>
    <s v="NC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50"/>
    <x v="11"/>
    <s v="Marseillan"/>
    <s v="B1"/>
    <n v="0.16500000000000001"/>
    <m/>
    <m/>
    <m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x v="91"/>
    <x v="78"/>
    <x v="70"/>
    <n v="194"/>
    <n v="5.7807507987220443"/>
    <n v="3.8438498402555914"/>
    <n v="1.9369009584664536"/>
  </r>
  <r>
    <n v="34151"/>
    <x v="12"/>
    <s v="Marsillargues"/>
    <s v="B1"/>
    <n v="0.11600000000000001"/>
    <m/>
    <m/>
    <m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x v="92"/>
    <x v="79"/>
    <x v="71"/>
    <n v="81"/>
    <n v="9.6504332237824926"/>
    <n v="7.2303555422766657"/>
    <n v="2.420077681505826"/>
  </r>
  <r>
    <n v="34152"/>
    <x v="8"/>
    <s v="Mas-de-Londres"/>
    <s v="C"/>
    <n v="6.800000000000000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  <x v="9"/>
    <x v="72"/>
    <n v="13"/>
    <n v="8.9041095890410951"/>
    <n v="4.4520547945205475"/>
    <n v="4.4520547945205475"/>
  </r>
  <r>
    <n v="34153"/>
    <x v="8"/>
    <s v="Les Matell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3"/>
    <x v="54"/>
    <x v="73"/>
    <n v="23"/>
    <n v="5.7483731019522777"/>
    <n v="3.2537960954446854"/>
    <n v="2.4945770065075923"/>
  </r>
  <r>
    <n v="34154"/>
    <x v="15"/>
    <s v="Mauguio"/>
    <s v="A"/>
    <n v="2.8000000000000001E-2"/>
    <m/>
    <m/>
    <m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x v="94"/>
    <x v="80"/>
    <x v="74"/>
    <n v="186"/>
    <n v="8.4307113167594707"/>
    <n v="6.9720021959062031"/>
    <n v="1.4587091208532663"/>
  </r>
  <r>
    <n v="34155"/>
    <x v="16"/>
    <s v="Maureilhan"/>
    <s v="C"/>
    <n v="0.12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5"/>
    <x v="44"/>
    <x v="75"/>
    <n v="51"/>
    <n v="8.3050847457627111"/>
    <n v="3.9830508474576267"/>
    <n v="4.3220338983050848"/>
  </r>
  <r>
    <n v="34156"/>
    <x v="7"/>
    <s v="Mérifon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57"/>
    <x v="11"/>
    <s v="Mèze"/>
    <s v="B1"/>
    <n v="7.5999999999999998E-2"/>
    <m/>
    <m/>
    <m/>
    <n v="0"/>
    <n v="0"/>
    <n v="0"/>
    <n v="0"/>
    <n v="0"/>
    <n v="0"/>
    <n v="0"/>
    <n v="1"/>
    <n v="0"/>
    <n v="5"/>
    <n v="1"/>
    <n v="0"/>
    <n v="2"/>
    <n v="1"/>
    <n v="0"/>
    <n v="2"/>
    <n v="0"/>
    <n v="0"/>
    <n v="0"/>
    <n v="1"/>
    <n v="0"/>
    <x v="96"/>
    <x v="81"/>
    <x v="76"/>
    <n v="141"/>
    <n v="8.1567796610169498"/>
    <n v="6.0230024213075062"/>
    <n v="2.1337772397094432"/>
  </r>
  <r>
    <n v="34158"/>
    <x v="2"/>
    <s v="Minerv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59"/>
    <x v="11"/>
    <s v="Mireval"/>
    <s v="B1"/>
    <n v="0.0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7"/>
    <x v="82"/>
    <x v="77"/>
    <n v="26"/>
    <n v="5.9800664451827243"/>
    <n v="4.2524916943521598"/>
    <n v="1.7275747508305648"/>
  </r>
  <r>
    <n v="34160"/>
    <x v="2"/>
    <s v="Mons"/>
    <s v="C"/>
    <n v="0.203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0"/>
    <x v="37"/>
    <x v="1"/>
    <n v="19"/>
    <n v="7.1428571428571423"/>
    <n v="3.8327526132404177"/>
    <n v="3.3101045296167246"/>
  </r>
  <r>
    <n v="34161"/>
    <x v="16"/>
    <s v="Montady"/>
    <s v="B2"/>
    <n v="7.9000000000000001E-2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8"/>
    <x v="75"/>
    <x v="64"/>
    <n v="55"/>
    <n v="5.9523809523809517"/>
    <n v="2.9761904761904758"/>
    <n v="2.9761904761904758"/>
  </r>
  <r>
    <n v="34162"/>
    <x v="1"/>
    <s v="Montagnac"/>
    <s v="C"/>
    <n v="0.18"/>
    <m/>
    <m/>
    <m/>
    <n v="0"/>
    <n v="1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x v="99"/>
    <x v="83"/>
    <x v="78"/>
    <n v="106"/>
    <n v="9.799554565701559"/>
    <n v="5.077951002227171"/>
    <n v="4.7216035634743871"/>
  </r>
  <r>
    <n v="34163"/>
    <x v="6"/>
    <s v="Montarnaud"/>
    <s v="C"/>
    <n v="2.8000000000000001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0"/>
    <x v="84"/>
    <x v="79"/>
    <n v="32"/>
    <n v="6.0489060489060487"/>
    <n v="3.9897039897039894"/>
    <n v="2.0592020592020592"/>
  </r>
  <r>
    <n v="34164"/>
    <x v="10"/>
    <s v="Montaud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65"/>
    <x v="11"/>
    <s v="Montbazin"/>
    <s v="B1"/>
    <n v="0.116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1"/>
    <x v="85"/>
    <x v="80"/>
    <n v="11"/>
    <n v="6.5131056393963469"/>
    <n v="5.6393963463065928"/>
    <n v="0.87370929308975376"/>
  </r>
  <r>
    <n v="34166"/>
    <x v="5"/>
    <s v="Montblanc"/>
    <s v="C"/>
    <n v="0.11799999999999999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2"/>
    <x v="33"/>
    <x v="81"/>
    <n v="58"/>
    <n v="9.7114707952146375"/>
    <n v="5.6298381421534129"/>
    <n v="4.0816326530612246"/>
  </r>
  <r>
    <n v="34167"/>
    <x v="9"/>
    <s v="Montels"/>
    <s v="C"/>
    <n v="0.174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68"/>
    <x v="0"/>
    <s v="Montesquieu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69"/>
    <x v="10"/>
    <s v="Montferrier-sur-Lez"/>
    <s v="A"/>
    <n v="2.4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3"/>
    <x v="27"/>
    <x v="82"/>
    <n v="18"/>
    <n v="5.6583818085668955"/>
    <n v="4.7065044949762029"/>
    <n v="0.95187731359069272"/>
  </r>
  <r>
    <n v="34170"/>
    <x v="9"/>
    <s v="Montouliers"/>
    <s v="C"/>
    <n v="0.15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71"/>
    <x v="3"/>
    <s v="Montoulieu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72"/>
    <x v="10"/>
    <s v="Montpellier"/>
    <s v="A"/>
    <n v="4.1000000000000002E-2"/>
    <m/>
    <m/>
    <m/>
    <n v="13"/>
    <n v="8"/>
    <n v="0"/>
    <n v="13"/>
    <n v="19"/>
    <n v="0"/>
    <n v="8"/>
    <n v="25"/>
    <n v="0"/>
    <n v="5"/>
    <n v="7"/>
    <n v="0"/>
    <n v="9"/>
    <n v="7"/>
    <n v="1"/>
    <n v="6"/>
    <n v="4"/>
    <n v="1"/>
    <n v="3"/>
    <n v="3"/>
    <n v="0"/>
    <x v="104"/>
    <x v="86"/>
    <x v="83"/>
    <n v="2962"/>
    <n v="12.818908585331942"/>
    <n v="10.759819256169621"/>
    <n v="2.0590893291623216"/>
  </r>
  <r>
    <n v="34173"/>
    <x v="6"/>
    <s v="Montpeyroux"/>
    <s v="C"/>
    <n v="0.117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5"/>
    <x v="20"/>
    <x v="21"/>
    <n v="28"/>
    <n v="8.4146341463414647"/>
    <n v="5"/>
    <n v="3.4146341463414638"/>
  </r>
  <r>
    <n v="34174"/>
    <x v="3"/>
    <s v="Moulès-et-Baucel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6"/>
    <x v="87"/>
    <x v="36"/>
    <n v="15"/>
    <n v="8.3140877598152425"/>
    <n v="4.8498845265588919"/>
    <n v="3.4642032332563506"/>
  </r>
  <r>
    <n v="34175"/>
    <x v="7"/>
    <s v="Mourèze"/>
    <s v="C"/>
    <n v="0.18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76"/>
    <x v="15"/>
    <s v="Mudaison"/>
    <s v="B2"/>
    <n v="0.02"/>
    <m/>
    <m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77"/>
    <x v="8"/>
    <s v="Murl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78"/>
    <x v="0"/>
    <s v="Murviel-lès-Béziers"/>
    <s v="C"/>
    <n v="0.127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7"/>
    <x v="88"/>
    <x v="61"/>
    <n v="94"/>
    <n v="10.049937578027466"/>
    <n v="4.1822721598002497"/>
    <n v="5.8676654182272161"/>
  </r>
  <r>
    <n v="34179"/>
    <x v="10"/>
    <s v="Murviel-lès-Montpellier"/>
    <s v="C"/>
    <n v="2.1000000000000001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80"/>
    <x v="7"/>
    <s v="Nébian"/>
    <s v="C"/>
    <n v="0.134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8"/>
    <x v="53"/>
    <x v="45"/>
    <n v="37"/>
    <n v="8.291457286432161"/>
    <n v="3.6432160804020097"/>
    <n v="4.6482412060301508"/>
  </r>
  <r>
    <n v="34181"/>
    <x v="0"/>
    <s v="Neffiès"/>
    <s v="C"/>
    <n v="0.128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09"/>
    <x v="89"/>
    <x v="73"/>
    <n v="29"/>
    <n v="8.4285714285714288"/>
    <n v="4.2857142857142856"/>
    <n v="4.1428571428571423"/>
  </r>
  <r>
    <n v="34182"/>
    <x v="1"/>
    <s v="Nézignan-l'Évêque"/>
    <s v="C"/>
    <n v="9.5000000000000001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0"/>
    <x v="20"/>
    <x v="73"/>
    <n v="39"/>
    <n v="7.7267637178051523"/>
    <n v="3.3594624860022395"/>
    <n v="4.3673012318029114"/>
  </r>
  <r>
    <n v="34183"/>
    <x v="16"/>
    <s v="Nissan-lez-Enserune"/>
    <s v="C"/>
    <n v="0.101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1"/>
    <x v="90"/>
    <x v="84"/>
    <n v="101"/>
    <n v="10.664172123479888"/>
    <n v="5.9401309635173059"/>
    <n v="4.7240411599625816"/>
  </r>
  <r>
    <n v="34184"/>
    <x v="1"/>
    <s v="Nizas"/>
    <s v="C"/>
    <n v="0.12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2"/>
    <x v="87"/>
    <x v="39"/>
    <n v="16"/>
    <n v="8.3526682134570756"/>
    <n v="4.6403712296983759"/>
    <n v="3.7122969837587005"/>
  </r>
  <r>
    <n v="34185"/>
    <x v="8"/>
    <s v="Notre-Dame-de-Londres"/>
    <s v="C"/>
    <s v="NC"/>
    <m/>
    <m/>
    <m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x v="113"/>
    <x v="3"/>
    <x v="72"/>
    <n v="20"/>
    <n v="11.111111111111111"/>
    <n v="4.3771043771043772"/>
    <n v="6.7340067340067336"/>
  </r>
  <r>
    <n v="34186"/>
    <x v="7"/>
    <s v="Octon"/>
    <s v="C"/>
    <n v="0.17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4"/>
    <x v="91"/>
    <x v="3"/>
    <n v="16"/>
    <n v="8.9820359281437128"/>
    <n v="4.1916167664670656"/>
    <n v="4.7904191616766472"/>
  </r>
  <r>
    <n v="34187"/>
    <x v="2"/>
    <s v="Olargues"/>
    <s v="C"/>
    <n v="0.217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5"/>
    <x v="92"/>
    <x v="9"/>
    <n v="64"/>
    <n v="19.26782273603083"/>
    <n v="6.9364161849710975"/>
    <n v="12.331406551059731"/>
  </r>
  <r>
    <n v="34188"/>
    <x v="13"/>
    <s v="Olmet-et-Villecu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89"/>
    <x v="2"/>
    <s v="Olonzac"/>
    <s v="C"/>
    <n v="0.14399999999999999"/>
    <m/>
    <m/>
    <m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x v="116"/>
    <x v="93"/>
    <x v="60"/>
    <n v="118"/>
    <n v="16.724137931034484"/>
    <n v="6.5517241379310347"/>
    <n v="10.172413793103448"/>
  </r>
  <r>
    <n v="34190"/>
    <x v="2"/>
    <s v="Oupia"/>
    <s v="C"/>
    <n v="0.176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91"/>
    <x v="0"/>
    <s v="Pailhès"/>
    <s v="C"/>
    <n v="9.900000000000000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92"/>
    <x v="15"/>
    <s v="Palavas-les-Flots"/>
    <s v="A"/>
    <n v="4.299999999999999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7"/>
    <x v="94"/>
    <x v="85"/>
    <n v="184"/>
    <n v="11.0251673978296"/>
    <n v="8.9009466635880852"/>
    <n v="2.1242207342415149"/>
  </r>
  <r>
    <n v="34193"/>
    <x v="2"/>
    <s v="Pardailhan"/>
    <s v="C"/>
    <n v="0.231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8"/>
    <x v="95"/>
    <x v="18"/>
    <n v="18"/>
    <n v="14.847161572052403"/>
    <n v="6.9868995633187767"/>
    <n v="7.860262008733625"/>
  </r>
  <r>
    <n v="34194"/>
    <x v="7"/>
    <s v="Paulhan"/>
    <s v="C"/>
    <n v="0.135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9"/>
    <x v="77"/>
    <x v="86"/>
    <n v="55"/>
    <n v="7.7875193398659102"/>
    <n v="4.9510056730273337"/>
    <n v="2.8365136668385764"/>
  </r>
  <r>
    <n v="34195"/>
    <x v="8"/>
    <s v="Pégairolles-de-Buèg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96"/>
    <x v="13"/>
    <s v="Pégairolles-de-l'Escalett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197"/>
    <x v="7"/>
    <s v="Péret"/>
    <s v="C"/>
    <n v="0.139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0"/>
    <x v="15"/>
    <x v="11"/>
    <n v="20"/>
    <n v="7.1428571428571423"/>
    <n v="3.8961038961038961"/>
    <n v="3.2467532467532463"/>
  </r>
  <r>
    <n v="34198"/>
    <x v="10"/>
    <s v="Pérols"/>
    <s v="A"/>
    <n v="2.8000000000000001E-2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x v="121"/>
    <x v="96"/>
    <x v="87"/>
    <n v="27"/>
    <n v="7.923045097227968"/>
    <n v="7.3645014480761271"/>
    <n v="0.55854364915184107"/>
  </r>
  <r>
    <n v="34199"/>
    <x v="1"/>
    <s v="Pézenas"/>
    <s v="C"/>
    <n v="0.20100000000000001"/>
    <m/>
    <m/>
    <m/>
    <n v="0"/>
    <n v="4"/>
    <n v="0"/>
    <n v="0"/>
    <n v="14"/>
    <n v="0"/>
    <n v="0"/>
    <n v="0"/>
    <n v="0"/>
    <n v="0"/>
    <n v="8"/>
    <n v="0"/>
    <n v="0"/>
    <n v="2"/>
    <n v="0"/>
    <n v="0"/>
    <n v="0"/>
    <n v="0"/>
    <n v="0"/>
    <n v="2"/>
    <n v="0"/>
    <x v="122"/>
    <x v="97"/>
    <x v="88"/>
    <n v="294"/>
    <n v="15.692989524576953"/>
    <n v="9.770346494762288"/>
    <n v="5.9226430298146653"/>
  </r>
  <r>
    <n v="34200"/>
    <x v="4"/>
    <s v="Pézènes-les-Min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01"/>
    <x v="9"/>
    <s v="Pierrerue"/>
    <s v="C"/>
    <n v="0.12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3"/>
    <x v="87"/>
    <x v="18"/>
    <n v="20"/>
    <n v="14.634146341463413"/>
    <n v="6.5040650406504072"/>
    <n v="8.1300813008130071"/>
  </r>
  <r>
    <n v="34202"/>
    <x v="10"/>
    <s v="Pignan"/>
    <s v="B1"/>
    <n v="3.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4"/>
    <x v="98"/>
    <x v="89"/>
    <n v="38"/>
    <n v="5.4568132210788898"/>
    <n v="4.2719052073589028"/>
    <n v="1.1849080137199874"/>
  </r>
  <r>
    <n v="34203"/>
    <x v="1"/>
    <s v="Pinet"/>
    <s v="C"/>
    <n v="0.123"/>
    <m/>
    <m/>
    <m/>
    <n v="0"/>
    <n v="0"/>
    <n v="0"/>
    <n v="0"/>
    <n v="3"/>
    <n v="0"/>
    <n v="0"/>
    <n v="0"/>
    <n v="0"/>
    <n v="0"/>
    <n v="1"/>
    <n v="0"/>
    <n v="0"/>
    <n v="1"/>
    <n v="0"/>
    <n v="0"/>
    <n v="0"/>
    <n v="0"/>
    <n v="0"/>
    <n v="1"/>
    <n v="0"/>
    <x v="125"/>
    <x v="99"/>
    <x v="43"/>
    <n v="38"/>
    <n v="9.6705632306057385"/>
    <n v="5.63230605738576"/>
    <n v="4.0382571732199786"/>
  </r>
  <r>
    <n v="34204"/>
    <x v="6"/>
    <s v="Plaissan"/>
    <s v="C"/>
    <n v="0.10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2"/>
    <x v="100"/>
    <x v="1"/>
    <n v="27"/>
    <n v="6.990014265335236"/>
    <n v="3.1383737517831669"/>
    <n v="3.8516405135520682"/>
  </r>
  <r>
    <n v="34205"/>
    <x v="13"/>
    <s v="Les Plans"/>
    <s v="C"/>
    <n v="0.243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06"/>
    <x v="9"/>
    <s v="Poilhes"/>
    <s v="C"/>
    <n v="0.11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6"/>
    <x v="101"/>
    <x v="29"/>
    <n v="23"/>
    <n v="10.416666666666668"/>
    <n v="3.5714285714285712"/>
    <n v="6.8452380952380958"/>
  </r>
  <r>
    <n v="34207"/>
    <x v="1"/>
    <s v="Pomérols"/>
    <s v="C"/>
    <n v="0.141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7"/>
    <x v="102"/>
    <x v="90"/>
    <n v="44"/>
    <n v="6.9607167470709861"/>
    <n v="3.9283252929014476"/>
    <n v="3.0323914541695385"/>
  </r>
  <r>
    <n v="34208"/>
    <x v="6"/>
    <s v="Popia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09"/>
    <x v="1"/>
    <s v="Portiragnes"/>
    <s v="B1"/>
    <n v="0.10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8"/>
    <x v="59"/>
    <x v="91"/>
    <n v="52"/>
    <n v="5.0056625141562856"/>
    <n v="3.8278595696489242"/>
    <n v="1.1778029445073612"/>
  </r>
  <r>
    <n v="34210"/>
    <x v="6"/>
    <s v="Le Pouget"/>
    <s v="C"/>
    <n v="0.12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9"/>
    <x v="103"/>
    <x v="43"/>
    <n v="24"/>
    <n v="7.3403241182078167"/>
    <n v="5.0524308865586276"/>
    <n v="2.2878932316491896"/>
  </r>
  <r>
    <n v="34211"/>
    <x v="4"/>
    <s v="Le Poujol-sur-Orb"/>
    <s v="C"/>
    <n v="0.18099999999999999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30"/>
    <x v="34"/>
    <x v="9"/>
    <n v="49"/>
    <n v="12.481644640234949"/>
    <n v="5.286343612334802"/>
    <n v="7.1953010279001468"/>
  </r>
  <r>
    <n v="34212"/>
    <x v="13"/>
    <s v="Poujols"/>
    <s v="C"/>
    <s v="NC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13"/>
    <x v="11"/>
    <s v="Poussan"/>
    <s v="B2"/>
    <n v="9.8000000000000004E-2"/>
    <m/>
    <m/>
    <m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x v="131"/>
    <x v="28"/>
    <x v="92"/>
    <n v="51"/>
    <n v="7.9958100558659222"/>
    <n v="6.2150837988826808"/>
    <n v="1.7807262569832401"/>
  </r>
  <r>
    <n v="34214"/>
    <x v="0"/>
    <s v="Pouzolles"/>
    <s v="C"/>
    <n v="0.12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2"/>
    <x v="104"/>
    <x v="93"/>
    <n v="43"/>
    <n v="12.5"/>
    <n v="6.3218390804597711"/>
    <n v="6.1781609195402298"/>
  </r>
  <r>
    <n v="34215"/>
    <x v="6"/>
    <s v="Pouzols"/>
    <s v="C"/>
    <n v="9.0999999999999998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16"/>
    <x v="4"/>
    <s v="Le Pradal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17"/>
    <x v="10"/>
    <s v="Prades-le-Lez"/>
    <s v="A"/>
    <n v="2.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3"/>
    <x v="105"/>
    <x v="94"/>
    <n v="22"/>
    <n v="6.5242273941243791"/>
    <n v="5.6848531095001906"/>
    <n v="0.83937428462418917"/>
  </r>
  <r>
    <n v="34218"/>
    <x v="9"/>
    <s v="Prades-sur-Vernazobr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19"/>
    <x v="2"/>
    <s v="Prémian"/>
    <s v="C"/>
    <n v="0.112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4"/>
    <x v="100"/>
    <x v="35"/>
    <n v="32"/>
    <n v="11.556603773584905"/>
    <n v="4.0094339622641506"/>
    <n v="7.5471698113207548"/>
  </r>
  <r>
    <n v="34220"/>
    <x v="13"/>
    <s v="Le Puech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21"/>
    <x v="6"/>
    <s v="Puéchabon"/>
    <s v="C"/>
    <n v="0.183"/>
    <m/>
    <m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x v="20"/>
    <x v="15"/>
    <x v="45"/>
    <n v="15"/>
    <n v="13.664596273291925"/>
    <n v="9.0062111801242235"/>
    <n v="4.658385093167702"/>
  </r>
  <r>
    <n v="34222"/>
    <x v="6"/>
    <s v="Puilacher"/>
    <s v="C"/>
    <s v="NC"/>
    <m/>
    <m/>
    <m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23"/>
    <x v="0"/>
    <s v="Puimisson"/>
    <s v="C"/>
    <n v="0.12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5"/>
    <x v="106"/>
    <x v="0"/>
    <n v="11"/>
    <n v="7.1539657853810263"/>
    <n v="5.4432348367029553"/>
    <n v="1.7107309486780715"/>
  </r>
  <r>
    <n v="34224"/>
    <x v="0"/>
    <s v="Puissalicon"/>
    <s v="C"/>
    <n v="8.4000000000000005E-2"/>
    <m/>
    <m/>
    <m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x v="136"/>
    <x v="107"/>
    <x v="95"/>
    <n v="53"/>
    <n v="11.596009975062344"/>
    <n v="4.9875311720698257"/>
    <n v="6.6084788029925194"/>
  </r>
  <r>
    <n v="34225"/>
    <x v="9"/>
    <s v="Puisserguier"/>
    <s v="C"/>
    <n v="0.132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7"/>
    <x v="108"/>
    <x v="96"/>
    <n v="127"/>
    <n v="11.885019347705915"/>
    <n v="4.8645660585959094"/>
    <n v="7.0204532891100051"/>
  </r>
  <r>
    <n v="34226"/>
    <x v="9"/>
    <s v="Quarante"/>
    <s v="C"/>
    <n v="0.189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38"/>
    <x v="109"/>
    <x v="57"/>
    <n v="86"/>
    <n v="13.008130081300814"/>
    <n v="5.2393857271906059"/>
    <n v="7.7687443541102077"/>
  </r>
  <r>
    <n v="34227"/>
    <x v="10"/>
    <s v="Restinclièr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28"/>
    <x v="2"/>
    <s v="Rieussec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29"/>
    <x v="2"/>
    <s v="Riols"/>
    <s v="C"/>
    <n v="0.109"/>
    <m/>
    <m/>
    <m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39"/>
    <x v="110"/>
    <x v="97"/>
    <n v="59"/>
    <n v="14.160583941605839"/>
    <n v="5.5474452554744529"/>
    <n v="8.6131386861313874"/>
  </r>
  <r>
    <n v="34230"/>
    <x v="13"/>
    <s v="Les Riv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31"/>
    <x v="13"/>
    <s v="Romiguièr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32"/>
    <x v="2"/>
    <s v="Roquebrun"/>
    <s v="C"/>
    <n v="0.207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0"/>
    <x v="111"/>
    <x v="11"/>
    <n v="48"/>
    <n v="10.876132930513595"/>
    <n v="3.6253776435045322"/>
    <n v="7.2507552870090644"/>
  </r>
  <r>
    <n v="34233"/>
    <x v="13"/>
    <s v="Roqueredonde"/>
    <s v="C"/>
    <n v="0.2939999999999999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34"/>
    <x v="0"/>
    <s v="Roquessel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35"/>
    <x v="14"/>
    <s v="Rosis"/>
    <s v="C"/>
    <n v="0.311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41"/>
    <x v="3"/>
    <x v="18"/>
    <n v="17"/>
    <n v="10.344827586206897"/>
    <n v="5.0156739811912221"/>
    <n v="5.3291536050156738"/>
  </r>
  <r>
    <n v="34236"/>
    <x v="8"/>
    <s v="Rouet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37"/>
    <x v="0"/>
    <s v="Roujan"/>
    <s v="C"/>
    <n v="0.14699999999999999"/>
    <m/>
    <m/>
    <m/>
    <n v="0"/>
    <n v="0"/>
    <n v="0"/>
    <n v="0"/>
    <n v="1"/>
    <n v="2"/>
    <n v="0"/>
    <n v="0"/>
    <n v="0"/>
    <n v="0"/>
    <n v="1"/>
    <n v="0"/>
    <n v="0"/>
    <n v="0"/>
    <n v="0"/>
    <n v="0"/>
    <n v="0"/>
    <n v="0"/>
    <n v="0"/>
    <n v="0"/>
    <n v="0"/>
    <x v="142"/>
    <x v="112"/>
    <x v="98"/>
    <n v="54"/>
    <n v="8.8298636037329494"/>
    <n v="4.953338119167265"/>
    <n v="3.8765254845656858"/>
  </r>
  <r>
    <n v="34238"/>
    <x v="8"/>
    <s v="Saint-André-de-Buèg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39"/>
    <x v="6"/>
    <s v="Saint-André-de-Sangonis"/>
    <s v="C"/>
    <n v="0.111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x v="143"/>
    <x v="113"/>
    <x v="99"/>
    <n v="74"/>
    <n v="8.5846044696700954"/>
    <n v="5.9595601277048598"/>
    <n v="2.6250443419652361"/>
  </r>
  <r>
    <n v="34240"/>
    <x v="15"/>
    <s v="Saint-Aunès"/>
    <s v="B1"/>
    <n v="1.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4"/>
    <x v="114"/>
    <x v="100"/>
    <n v="12"/>
    <n v="6.4125831820931634"/>
    <n v="5.6866303690260134"/>
    <n v="0.72595281306715065"/>
  </r>
  <r>
    <n v="34241"/>
    <x v="6"/>
    <s v="Saint-Bauzille-de-la-Sylve"/>
    <s v="C"/>
    <n v="0.144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5"/>
    <x v="115"/>
    <x v="32"/>
    <n v="17"/>
    <n v="9.4922737306843263"/>
    <n v="5.739514348785872"/>
    <n v="3.7527593818984544"/>
  </r>
  <r>
    <n v="34242"/>
    <x v="8"/>
    <s v="Saint-Bauzille-de-Montmel"/>
    <s v="C"/>
    <n v="8.5000000000000006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6"/>
    <x v="17"/>
    <x v="47"/>
    <n v="13"/>
    <n v="5.8601134215500945"/>
    <n v="3.4026465028355388"/>
    <n v="2.4574669187145557"/>
  </r>
  <r>
    <n v="34243"/>
    <x v="3"/>
    <s v="Saint-Bauzille-de-Putois"/>
    <s v="C"/>
    <n v="0.147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47"/>
    <x v="116"/>
    <x v="98"/>
    <n v="62"/>
    <n v="11.431064572425829"/>
    <n v="6.0209424083769632"/>
    <n v="5.4101221640488655"/>
  </r>
  <r>
    <n v="34244"/>
    <x v="10"/>
    <s v="Saint-Brès"/>
    <s v="B1"/>
    <n v="3.5000000000000003E-2"/>
    <m/>
    <m/>
    <m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x v="148"/>
    <x v="66"/>
    <x v="96"/>
    <n v="15"/>
    <n v="7.6014760147601477"/>
    <n v="6.4944649446494456"/>
    <n v="1.107011070110701"/>
  </r>
  <r>
    <n v="34245"/>
    <x v="9"/>
    <s v="Saint-Chinian"/>
    <s v="C"/>
    <n v="0.21"/>
    <m/>
    <m/>
    <m/>
    <n v="0"/>
    <n v="0"/>
    <n v="0"/>
    <n v="0"/>
    <n v="2"/>
    <n v="0"/>
    <n v="0"/>
    <n v="0"/>
    <n v="0"/>
    <n v="0"/>
    <n v="0"/>
    <n v="0"/>
    <n v="0"/>
    <n v="1"/>
    <n v="0"/>
    <n v="0"/>
    <n v="0"/>
    <n v="0"/>
    <n v="0"/>
    <n v="1"/>
    <n v="0"/>
    <x v="149"/>
    <x v="117"/>
    <x v="60"/>
    <n v="136"/>
    <n v="16.012084592145015"/>
    <n v="5.7401812688821749"/>
    <n v="10.271903323262841"/>
  </r>
  <r>
    <n v="34246"/>
    <x v="12"/>
    <s v="Entre-Vignes"/>
    <s v="C"/>
    <n v="5.899999999999999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0"/>
    <x v="118"/>
    <x v="101"/>
    <n v="17"/>
    <n v="5.5842812823164421"/>
    <n v="3.8262668045501553"/>
    <n v="1.7580144777662874"/>
  </r>
  <r>
    <n v="34247"/>
    <x v="8"/>
    <s v="Saint-Clément-de-Rivière"/>
    <s v="A"/>
    <n v="0.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1"/>
    <x v="119"/>
    <x v="81"/>
    <n v="12"/>
    <n v="4.4965786901270777"/>
    <n v="3.9100684261974585"/>
    <n v="0.5865102639296188"/>
  </r>
  <r>
    <n v="34248"/>
    <x v="8"/>
    <s v="Sainte-Croix-de-Quintillargu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49"/>
    <x v="10"/>
    <s v="Saint-Drézéry"/>
    <s v="C"/>
    <n v="2.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6"/>
    <x v="120"/>
    <x v="77"/>
    <n v="15"/>
    <n v="6.8103448275862064"/>
    <n v="5.5172413793103452"/>
    <n v="1.2931034482758621"/>
  </r>
  <r>
    <n v="34250"/>
    <x v="2"/>
    <s v="Saint-Étienne-d'Albagnan"/>
    <s v="C"/>
    <n v="0.256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2"/>
    <x v="101"/>
    <x v="29"/>
    <n v="23"/>
    <n v="12.544802867383511"/>
    <n v="4.3010752688172049"/>
    <n v="8.2437275985663092"/>
  </r>
  <r>
    <n v="34251"/>
    <x v="13"/>
    <s v="Saint-Étienne-de-Gourgas"/>
    <s v="C"/>
    <n v="0.126"/>
    <m/>
    <m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x v="4"/>
    <x v="4"/>
    <x v="4"/>
    <s v="NC"/>
    <s v="NC"/>
    <s v="NC"/>
    <s v="NC"/>
  </r>
  <r>
    <n v="34252"/>
    <x v="4"/>
    <s v="Saint-Étienne-Estréchoux"/>
    <s v="C"/>
    <n v="0.23400000000000001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3"/>
    <x v="100"/>
    <x v="3"/>
    <n v="35"/>
    <n v="17.689530685920577"/>
    <n v="5.0541516245487363"/>
    <n v="12.63537906137184"/>
  </r>
  <r>
    <n v="34253"/>
    <x v="13"/>
    <s v="Saint-Félix-de-l'Héra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54"/>
    <x v="7"/>
    <s v="Saint-Félix-de-Lodez"/>
    <s v="C"/>
    <n v="7.000000000000000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4"/>
    <x v="89"/>
    <x v="73"/>
    <n v="29"/>
    <n v="10.369068541300527"/>
    <n v="5.272407732864675"/>
    <n v="5.0966608084358525"/>
  </r>
  <r>
    <n v="34255"/>
    <x v="8"/>
    <s v="Saint-Gély-du-Fesc"/>
    <s v="A"/>
    <n v="2.1999999999999999E-2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x v="155"/>
    <x v="83"/>
    <x v="102"/>
    <n v="32"/>
    <n v="5.0808314087759809"/>
    <n v="4.3418013856812934"/>
    <n v="0.73903002309468824"/>
  </r>
  <r>
    <n v="34256"/>
    <x v="10"/>
    <s v="Saint-Geniès-des-Mourgues"/>
    <s v="B1"/>
    <n v="4.3999999999999997E-2"/>
    <m/>
    <m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156"/>
    <x v="21"/>
    <x v="103"/>
    <n v="22"/>
    <n v="7.4115044247787614"/>
    <n v="4.9778761061946906"/>
    <n v="2.4336283185840708"/>
  </r>
  <r>
    <n v="34257"/>
    <x v="4"/>
    <s v="Saint-Geniès-de-Varensal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58"/>
    <x v="0"/>
    <s v="Saint-Geniès-de-Fontedit"/>
    <s v="C"/>
    <n v="9.8000000000000004E-2"/>
    <m/>
    <m/>
    <m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"/>
    <n v="0"/>
    <x v="157"/>
    <x v="0"/>
    <x v="22"/>
    <n v="24"/>
    <n v="6.0606060606060606"/>
    <n v="3.5527690700104495"/>
    <n v="2.507836990595611"/>
  </r>
  <r>
    <n v="34259"/>
    <x v="10"/>
    <s v="Saint-Georges-d'Orques"/>
    <s v="B1"/>
    <n v="1.799999999999999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8"/>
    <x v="121"/>
    <x v="28"/>
    <n v="34"/>
    <n v="6.0361399461745489"/>
    <n v="4.728950403690888"/>
    <n v="1.3071895424836601"/>
  </r>
  <r>
    <n v="34260"/>
    <x v="4"/>
    <s v="Saint-Gervais-sur-Mare"/>
    <s v="C"/>
    <n v="0.24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8"/>
    <x v="122"/>
    <x v="59"/>
    <n v="65"/>
    <n v="15.577889447236181"/>
    <n v="7.4120603015075375"/>
    <n v="8.1658291457286438"/>
  </r>
  <r>
    <n v="34261"/>
    <x v="6"/>
    <s v="Saint-Guilhem-le-Désert"/>
    <s v="C"/>
    <n v="0.155"/>
    <m/>
    <m/>
    <m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x v="4"/>
    <x v="4"/>
    <x v="4"/>
    <s v="NC"/>
    <s v="NC"/>
    <s v="NC"/>
    <s v="NC"/>
  </r>
  <r>
    <n v="34262"/>
    <x v="6"/>
    <s v="Saint-Guiraud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63"/>
    <x v="8"/>
    <s v="Saint-Hilaire-de-Beauvoir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64"/>
    <x v="8"/>
    <s v="Saint-Jean-de-Buèges"/>
    <s v="C"/>
    <n v="0.171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9"/>
    <x v="14"/>
    <x v="29"/>
    <n v="12"/>
    <n v="12.244897959183673"/>
    <n v="6.1224489795918364"/>
    <n v="6.1224489795918364"/>
  </r>
  <r>
    <n v="34265"/>
    <x v="8"/>
    <s v="Saint-Jean-de-Corni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66"/>
    <x v="8"/>
    <s v="Saint-Jean-de-Cucull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67"/>
    <x v="6"/>
    <s v="Saint-Jean-de-Fos"/>
    <s v="C"/>
    <n v="0.127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60"/>
    <x v="67"/>
    <x v="21"/>
    <n v="47"/>
    <n v="8.5853658536585371"/>
    <n v="4"/>
    <n v="4.5853658536585362"/>
  </r>
  <r>
    <n v="34268"/>
    <x v="13"/>
    <s v="Saint-Jean-de-la-Blaquière"/>
    <s v="C"/>
    <n v="0.140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1"/>
    <x v="32"/>
    <x v="18"/>
    <n v="24"/>
    <n v="10.075566750629724"/>
    <n v="4.0302267002518892"/>
    <n v="6.0453400503778338"/>
  </r>
  <r>
    <n v="34269"/>
    <x v="2"/>
    <s v="Saint-Jean-de-Minervoi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70"/>
    <x v="10"/>
    <s v="Saint-Jean-de-Védas"/>
    <s v="A"/>
    <n v="1.9E-2"/>
    <m/>
    <m/>
    <m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x v="162"/>
    <x v="123"/>
    <x v="104"/>
    <n v="58"/>
    <n v="5.8867924528301883"/>
    <n v="4.7924528301886795"/>
    <n v="1.0943396226415094"/>
  </r>
  <r>
    <n v="34271"/>
    <x v="2"/>
    <s v="Saint-Julien"/>
    <s v="C"/>
    <n v="0.305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72"/>
    <x v="12"/>
    <s v="Saint-Just"/>
    <s v="B1"/>
    <n v="3.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3"/>
    <x v="89"/>
    <x v="5"/>
    <n v="11"/>
    <n v="4.5701006971340048"/>
    <n v="3.7180480247869867"/>
    <n v="0.85205267234701787"/>
  </r>
  <r>
    <n v="34273"/>
    <x v="2"/>
    <s v="Saint-Martin-de-l'Arço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74"/>
    <x v="8"/>
    <s v="Saint-Martin-de-Londres"/>
    <s v="C"/>
    <n v="4.599999999999999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4"/>
    <x v="124"/>
    <x v="98"/>
    <n v="36"/>
    <n v="8.677685950413224"/>
    <n v="5.7024793388429753"/>
    <n v="2.9752066115702478"/>
  </r>
  <r>
    <n v="34276"/>
    <x v="8"/>
    <s v="Saint-Mathieu-de-Tréviers"/>
    <s v="B1"/>
    <n v="1.6E-2"/>
    <m/>
    <m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x v="165"/>
    <x v="70"/>
    <x v="27"/>
    <n v="15"/>
    <n v="4.5302013422818792"/>
    <n v="3.6912751677852351"/>
    <n v="0.83892617449664431"/>
  </r>
  <r>
    <n v="34277"/>
    <x v="13"/>
    <s v="Saint-Maurice-Navacelles"/>
    <s v="C"/>
    <n v="0.2"/>
    <m/>
    <m/>
    <m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78"/>
    <x v="13"/>
    <s v="Saint-Michel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79"/>
    <x v="0"/>
    <s v="Saint-Nazaire-de-Ladarez"/>
    <s v="C"/>
    <n v="0.27800000000000002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66"/>
    <x v="40"/>
    <x v="47"/>
    <n v="29"/>
    <n v="16.491228070175438"/>
    <n v="6.3157894736842106"/>
    <n v="10.175438596491228"/>
  </r>
  <r>
    <n v="34280"/>
    <x v="12"/>
    <s v="Saint-Nazaire-de-Pézan"/>
    <s v="B1"/>
    <n v="8.3000000000000004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81"/>
    <x v="6"/>
    <s v="Saint-Pargoire"/>
    <s v="C"/>
    <n v="0.127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7"/>
    <x v="125"/>
    <x v="43"/>
    <n v="46"/>
    <n v="7.9518072289156621"/>
    <n v="4.2570281124497988"/>
    <n v="3.6947791164658637"/>
  </r>
  <r>
    <n v="34282"/>
    <x v="6"/>
    <s v="Saint-Paul-et-Valmall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8"/>
    <x v="91"/>
    <x v="35"/>
    <n v="13"/>
    <n v="5.376344086021505"/>
    <n v="3.0465949820788532"/>
    <n v="2.3297491039426523"/>
  </r>
  <r>
    <n v="34283"/>
    <x v="13"/>
    <s v="Saint-Pierre-de-la-Fag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84"/>
    <x v="2"/>
    <s v="Saint-Pons-de-Thomières"/>
    <s v="C"/>
    <n v="0.19"/>
    <m/>
    <m/>
    <m/>
    <n v="0"/>
    <n v="2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x v="169"/>
    <x v="126"/>
    <x v="105"/>
    <n v="279"/>
    <n v="26.256983240223462"/>
    <n v="6.7737430167597772"/>
    <n v="19.483240223463689"/>
  </r>
  <r>
    <n v="34285"/>
    <x v="1"/>
    <s v="Saint-Pons-de-Mauchiens"/>
    <s v="C"/>
    <n v="0.17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0"/>
    <x v="15"/>
    <x v="16"/>
    <n v="17"/>
    <n v="10.352941176470589"/>
    <n v="6.3529411764705879"/>
    <n v="4"/>
  </r>
  <r>
    <n v="34286"/>
    <x v="13"/>
    <s v="Saint-Privat"/>
    <s v="C"/>
    <n v="0.15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1"/>
    <x v="95"/>
    <x v="15"/>
    <n v="23"/>
    <n v="10.334346504559271"/>
    <n v="3.3434650455927049"/>
    <n v="6.9908814589665651"/>
  </r>
  <r>
    <n v="34287"/>
    <x v="6"/>
    <s v="Saint-Saturnin-de-Lucia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88"/>
    <x v="12"/>
    <s v="Saint-Sériès"/>
    <s v="C"/>
    <s v="NC"/>
    <m/>
    <m/>
    <m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0"/>
    <x v="4"/>
    <x v="4"/>
    <x v="4"/>
    <s v="NC"/>
    <s v="NC"/>
    <s v="NC"/>
    <s v="NC"/>
  </r>
  <r>
    <n v="34289"/>
    <x v="1"/>
    <s v="Saint-Thibéry"/>
    <s v="C"/>
    <n v="0.20799999999999999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172"/>
    <x v="127"/>
    <x v="86"/>
    <n v="40"/>
    <n v="9.2643051771117158"/>
    <n v="6.5395095367847409"/>
    <n v="2.7247956403269753"/>
  </r>
  <r>
    <n v="34290"/>
    <x v="8"/>
    <s v="Saint-Vincent-de-Barbeyrargues"/>
    <s v="A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91"/>
    <x v="2"/>
    <s v="Saint-Vincent-d'Olargues"/>
    <s v="C"/>
    <n v="0.225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3"/>
    <x v="87"/>
    <x v="15"/>
    <n v="25"/>
    <n v="10.810810810810811"/>
    <n v="3.303303303303303"/>
    <n v="7.5075075075075075"/>
  </r>
  <r>
    <n v="34292"/>
    <x v="7"/>
    <s v="Salasc"/>
    <s v="C"/>
    <n v="0.19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93"/>
    <x v="14"/>
    <s v="La Salvetat-sur-Agout"/>
    <s v="C"/>
    <n v="0.142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4"/>
    <x v="68"/>
    <x v="7"/>
    <n v="85"/>
    <n v="8.9872568745808188"/>
    <n v="3.286384976525822"/>
    <n v="5.7008718980549968"/>
  </r>
  <r>
    <n v="34294"/>
    <x v="12"/>
    <s v="Saturargues"/>
    <s v="C"/>
    <n v="5.8000000000000003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95"/>
    <x v="10"/>
    <s v="Saussan"/>
    <s v="A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96"/>
    <x v="12"/>
    <s v="Saussines"/>
    <s v="C"/>
    <n v="5.899999999999999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97"/>
    <x v="8"/>
    <s v="Sauteyrargue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298"/>
    <x v="5"/>
    <s v="Sauvian"/>
    <s v="B1"/>
    <n v="7.2999999999999995E-2"/>
    <m/>
    <m/>
    <m/>
    <n v="0"/>
    <n v="0"/>
    <n v="0"/>
    <n v="0"/>
    <n v="0"/>
    <n v="0"/>
    <n v="0"/>
    <n v="0"/>
    <n v="0"/>
    <n v="1"/>
    <n v="2"/>
    <n v="0"/>
    <n v="0"/>
    <n v="2"/>
    <n v="0"/>
    <n v="0"/>
    <n v="2"/>
    <n v="0"/>
    <n v="0"/>
    <n v="0"/>
    <n v="0"/>
    <x v="175"/>
    <x v="114"/>
    <x v="106"/>
    <n v="23"/>
    <n v="4.0942448821938973"/>
    <n v="3.205870992661259"/>
    <n v="0.88837388953263807"/>
  </r>
  <r>
    <n v="34299"/>
    <x v="5"/>
    <s v="Sérignan"/>
    <s v="B1"/>
    <n v="0.11899999999999999"/>
    <m/>
    <m/>
    <m/>
    <n v="0"/>
    <n v="2"/>
    <n v="0"/>
    <n v="0"/>
    <n v="0"/>
    <n v="0"/>
    <n v="5"/>
    <n v="3"/>
    <n v="0"/>
    <n v="1"/>
    <n v="0"/>
    <n v="0"/>
    <n v="0"/>
    <n v="1"/>
    <n v="0"/>
    <n v="0"/>
    <n v="1"/>
    <n v="0"/>
    <n v="0"/>
    <n v="0"/>
    <n v="0"/>
    <x v="176"/>
    <x v="128"/>
    <x v="107"/>
    <n v="116"/>
    <n v="7.9984836997725548"/>
    <n v="5.7998483699772558"/>
    <n v="2.1986353297952994"/>
  </r>
  <r>
    <n v="34300"/>
    <x v="5"/>
    <s v="Servian"/>
    <s v="C"/>
    <n v="0.14399999999999999"/>
    <m/>
    <m/>
    <m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x v="177"/>
    <x v="129"/>
    <x v="51"/>
    <n v="83"/>
    <n v="7.9823505816285598"/>
    <n v="4.6530284797432815"/>
    <n v="3.3293221018852783"/>
  </r>
  <r>
    <n v="34301"/>
    <x v="11"/>
    <s v="Sète"/>
    <s v="B1"/>
    <n v="0.124"/>
    <m/>
    <m/>
    <m/>
    <n v="7"/>
    <n v="20"/>
    <n v="0"/>
    <n v="0"/>
    <n v="6"/>
    <n v="6"/>
    <n v="0"/>
    <n v="15"/>
    <n v="0"/>
    <n v="5"/>
    <n v="11"/>
    <n v="1"/>
    <n v="4"/>
    <n v="17"/>
    <n v="6"/>
    <n v="0"/>
    <n v="0"/>
    <n v="0"/>
    <n v="4"/>
    <n v="17"/>
    <n v="6"/>
    <x v="178"/>
    <x v="130"/>
    <x v="108"/>
    <n v="732"/>
    <n v="9.5570938907184626"/>
    <n v="7.0972511593521066"/>
    <n v="2.4598427313663551"/>
  </r>
  <r>
    <n v="34302"/>
    <x v="2"/>
    <s v="Siran"/>
    <s v="C"/>
    <n v="0.138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4"/>
    <x v="131"/>
    <x v="47"/>
    <n v="55"/>
    <n v="12.829525483304041"/>
    <n v="3.1634446397188052"/>
    <n v="9.6660808435852363"/>
  </r>
  <r>
    <n v="34303"/>
    <x v="13"/>
    <s v="Sorb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04"/>
    <x v="13"/>
    <s v="Soubès"/>
    <s v="C"/>
    <n v="0.11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9"/>
    <x v="1"/>
    <x v="22"/>
    <n v="14"/>
    <n v="8.4063047285464094"/>
    <n v="5.9544658493870406"/>
    <n v="2.4518388791593697"/>
  </r>
  <r>
    <n v="34305"/>
    <x v="14"/>
    <s v="Le Soulié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0"/>
    <x v="101"/>
    <x v="3"/>
    <n v="21"/>
    <n v="12.820512820512819"/>
    <n v="5.1282051282051277"/>
    <n v="7.6923076923076925"/>
  </r>
  <r>
    <n v="34306"/>
    <x v="13"/>
    <s v="Soumont"/>
    <s v="C"/>
    <n v="0.253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07"/>
    <x v="10"/>
    <s v="Sussargues"/>
    <s v="B1"/>
    <n v="3.5000000000000003E-2"/>
    <m/>
    <m/>
    <m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x v="181"/>
    <x v="0"/>
    <x v="103"/>
    <n v="13"/>
    <n v="4.857621440536013"/>
    <n v="3.7688442211055273"/>
    <n v="1.0887772194304857"/>
  </r>
  <r>
    <n v="34308"/>
    <x v="4"/>
    <s v="Taussac-la-Billière"/>
    <s v="C"/>
    <n v="0.12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  <x v="43"/>
    <x v="18"/>
    <n v="12"/>
    <n v="8.4848484848484862"/>
    <n v="4.8484848484848486"/>
    <n v="3.6363636363636362"/>
  </r>
  <r>
    <n v="34309"/>
    <x v="8"/>
    <s v="Teyran"/>
    <s v="A"/>
    <n v="1.4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2"/>
    <x v="132"/>
    <x v="109"/>
    <n v="14"/>
    <n v="4.306459689534301"/>
    <n v="3.6054081121682526"/>
    <n v="0.70105157736604906"/>
  </r>
  <r>
    <n v="34310"/>
    <x v="0"/>
    <s v="Thézan-lès-Béziers"/>
    <s v="C"/>
    <n v="0.111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x v="183"/>
    <x v="102"/>
    <x v="110"/>
    <n v="41"/>
    <n v="6.5161290322580641"/>
    <n v="3.870967741935484"/>
    <n v="2.6451612903225805"/>
  </r>
  <r>
    <n v="34311"/>
    <x v="1"/>
    <s v="Tourbes"/>
    <s v="C"/>
    <n v="0.10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4"/>
    <x v="131"/>
    <x v="103"/>
    <n v="28"/>
    <n v="7.5102880658436222"/>
    <n v="4.6296296296296298"/>
    <n v="2.880658436213992"/>
  </r>
  <r>
    <n v="34312"/>
    <x v="4"/>
    <s v="La Tour-sur-Orb"/>
    <s v="C"/>
    <n v="9.7000000000000003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5"/>
    <x v="131"/>
    <x v="97"/>
    <n v="35"/>
    <n v="8.0573951434878577"/>
    <n v="4.1942604856512142"/>
    <n v="3.8631346578366448"/>
  </r>
  <r>
    <n v="34313"/>
    <x v="6"/>
    <s v="Tressan"/>
    <s v="C"/>
    <n v="0.151"/>
    <m/>
    <m/>
    <m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x v="28"/>
    <x v="43"/>
    <x v="8"/>
    <n v="13"/>
    <n v="7.2351421188630489"/>
    <n v="3.8759689922480618"/>
    <n v="3.3591731266149871"/>
  </r>
  <r>
    <n v="34314"/>
    <x v="8"/>
    <s v="Le Triadou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15"/>
    <x v="7"/>
    <s v="Usclas-d'Hérault"/>
    <s v="C"/>
    <n v="0.117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16"/>
    <x v="13"/>
    <s v="Usclas-du-Bosc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17"/>
    <x v="13"/>
    <s v="La Vacquerie-et-Saint-Martin-de-Castries"/>
    <s v="C"/>
    <n v="0.25900000000000001"/>
    <m/>
    <m/>
    <m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x v="186"/>
    <x v="9"/>
    <x v="72"/>
    <n v="13"/>
    <n v="14.285714285714285"/>
    <n v="7.1428571428571423"/>
    <n v="7.1428571428571423"/>
  </r>
  <r>
    <n v="34318"/>
    <x v="8"/>
    <s v="Vacquières"/>
    <s v="C"/>
    <n v="0.146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7"/>
    <x v="21"/>
    <x v="41"/>
    <n v="36"/>
    <n v="12.737642585551331"/>
    <n v="5.8935361216730033"/>
    <n v="6.8441064638783269"/>
  </r>
  <r>
    <n v="34319"/>
    <x v="0"/>
    <s v="Vailhan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20"/>
    <x v="8"/>
    <s v="Vailhauquè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8"/>
    <x v="133"/>
    <x v="41"/>
    <n v="26"/>
    <n v="5.56640625"/>
    <n v="3.02734375"/>
    <n v="2.5390625"/>
  </r>
  <r>
    <n v="34321"/>
    <x v="15"/>
    <s v="Valergues"/>
    <s v="B2"/>
    <n v="3.4000000000000002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22"/>
    <x v="8"/>
    <s v="Valflaunè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23"/>
    <x v="7"/>
    <s v="Valmascl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24"/>
    <x v="5"/>
    <s v="Valras-Plage"/>
    <s v="B2"/>
    <n v="7.6999999999999999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9"/>
    <x v="134"/>
    <x v="53"/>
    <n v="178"/>
    <n v="5.5839727195225919"/>
    <n v="3.6871270247229324"/>
    <n v="1.8968456947996588"/>
  </r>
  <r>
    <n v="34325"/>
    <x v="5"/>
    <s v="Valros"/>
    <s v="C"/>
    <n v="9.9000000000000005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0"/>
    <x v="135"/>
    <x v="62"/>
    <n v="22"/>
    <n v="7.3059360730593603"/>
    <n v="4.7945205479452051"/>
    <n v="2.5114155251141552"/>
  </r>
  <r>
    <n v="34326"/>
    <x v="2"/>
    <s v="Vélieux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27"/>
    <x v="10"/>
    <s v="Vendargues"/>
    <s v="A"/>
    <n v="2.5999999999999999E-2"/>
    <m/>
    <m/>
    <m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x v="191"/>
    <x v="136"/>
    <x v="111"/>
    <n v="25"/>
    <n v="6.164623467600701"/>
    <n v="5.2889667250437835"/>
    <n v="0.87565674255691772"/>
  </r>
  <r>
    <n v="34328"/>
    <x v="6"/>
    <s v="Vendémian"/>
    <s v="C"/>
    <n v="0.126"/>
    <m/>
    <m/>
    <m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2"/>
    <n v="1"/>
    <x v="192"/>
    <x v="5"/>
    <x v="16"/>
    <n v="15"/>
    <n v="7.6363636363636367"/>
    <n v="4.9090909090909092"/>
    <n v="2.7272727272727271"/>
  </r>
  <r>
    <n v="34329"/>
    <x v="16"/>
    <s v="Vendres"/>
    <s v="B2"/>
    <n v="8.6999999999999994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3"/>
    <x v="137"/>
    <x v="61"/>
    <n v="50"/>
    <n v="4.8148148148148149"/>
    <n v="2.7572016460905351"/>
    <n v="2.0576131687242798"/>
  </r>
  <r>
    <n v="34331"/>
    <x v="2"/>
    <s v="Verreries-de-Moussan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32"/>
    <x v="1"/>
    <s v="Vias"/>
    <s v="B1"/>
    <n v="0.158"/>
    <m/>
    <m/>
    <m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x v="194"/>
    <x v="138"/>
    <x v="112"/>
    <n v="124"/>
    <n v="5.866991643454039"/>
    <n v="3.7082172701949863"/>
    <n v="2.1587743732590527"/>
  </r>
  <r>
    <n v="34333"/>
    <x v="11"/>
    <s v="Vic-la-Gardiole"/>
    <s v="B1"/>
    <n v="8.7999999999999995E-2"/>
    <m/>
    <m/>
    <m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x v="195"/>
    <x v="139"/>
    <x v="113"/>
    <n v="53"/>
    <n v="8.3086053412462899"/>
    <n v="6.0618906316235694"/>
    <n v="2.2467147096227214"/>
  </r>
  <r>
    <n v="34334"/>
    <x v="2"/>
    <s v="Vieussan"/>
    <s v="C"/>
    <n v="0.2909999999999999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35"/>
    <x v="4"/>
    <s v="Villemagne-l'Argentière"/>
    <s v="C"/>
    <n v="0.1759999999999999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36"/>
    <x v="5"/>
    <s v="Villeneuve-lès-Béziers"/>
    <s v="B2"/>
    <n v="0.13900000000000001"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x v="196"/>
    <x v="140"/>
    <x v="114"/>
    <n v="112"/>
    <n v="11.394487865076099"/>
    <n v="6.7873303167420813"/>
    <n v="4.607157548334019"/>
  </r>
  <r>
    <n v="34337"/>
    <x v="10"/>
    <s v="Villeneuve-lès-Maguelone"/>
    <s v="A"/>
    <n v="7.8E-2"/>
    <m/>
    <m/>
    <m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0"/>
    <x v="197"/>
    <x v="141"/>
    <x v="115"/>
    <n v="50"/>
    <n v="7.008420009905894"/>
    <n v="5.7701832590391282"/>
    <n v="1.2382367508667658"/>
  </r>
  <r>
    <n v="34338"/>
    <x v="7"/>
    <s v="Villeneuvette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39"/>
    <x v="9"/>
    <s v="Villespassans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40"/>
    <x v="12"/>
    <s v="Villetelle"/>
    <s v="B1"/>
    <n v="4.8000000000000001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41"/>
    <x v="11"/>
    <s v="Villeveyrac"/>
    <s v="C"/>
    <n v="0.1160000000000000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8"/>
    <x v="142"/>
    <x v="116"/>
    <n v="50"/>
    <n v="8.9627959413754237"/>
    <n v="6.1443066516347242"/>
    <n v="2.818489289740699"/>
  </r>
  <r>
    <n v="34342"/>
    <x v="8"/>
    <s v="Viols-en-Laval"/>
    <s v="C"/>
    <s v="NC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4"/>
    <x v="4"/>
    <s v="NC"/>
    <s v="NC"/>
    <s v="NC"/>
    <s v="NC"/>
  </r>
  <r>
    <n v="34343"/>
    <x v="8"/>
    <s v="Viols-le-Fort"/>
    <s v="C"/>
    <n v="4.7E-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9"/>
    <x v="40"/>
    <x v="73"/>
    <n v="17"/>
    <n v="8.5299455535390205"/>
    <n v="5.4446460980036298"/>
    <n v="3.0852994555353903"/>
  </r>
  <r>
    <n v="34344"/>
    <x v="15"/>
    <s v="La Grande Motte"/>
    <s v="A"/>
    <n v="5.0000000000000001E-3"/>
    <m/>
    <m/>
    <m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x v="200"/>
    <x v="143"/>
    <x v="117"/>
    <n v="101"/>
    <n v="4.4990910927085439"/>
    <n v="3.9890931125025246"/>
    <n v="0.50999798020601905"/>
  </r>
  <r>
    <n v="34"/>
    <x v="17"/>
    <s v="Hérault"/>
    <m/>
    <n v="8.5000000000000006E-2"/>
    <n v="0"/>
    <n v="0"/>
    <n v="0"/>
    <n v="29"/>
    <n v="101"/>
    <n v="7"/>
    <n v="44"/>
    <n v="94"/>
    <n v="16"/>
    <n v="28"/>
    <n v="90"/>
    <n v="8"/>
    <n v="38"/>
    <n v="121"/>
    <n v="16"/>
    <n v="27"/>
    <n v="98"/>
    <n v="12"/>
    <n v="15"/>
    <n v="38"/>
    <n v="2"/>
    <n v="12"/>
    <n v="60"/>
    <n v="10"/>
    <x v="201"/>
    <x v="144"/>
    <x v="118"/>
    <n v="18023"/>
    <n v="2032.1926687069529"/>
    <n v="1113.4665279704889"/>
    <n v="918.726140736465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D19" firstHeaderRow="0" firstDataRow="1" firstDataCol="1"/>
  <pivotFields count="18"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8">
        <item x="5"/>
        <item x="7"/>
        <item x="16"/>
        <item x="15"/>
        <item x="12"/>
        <item x="6"/>
        <item x="3"/>
        <item x="1"/>
        <item x="13"/>
        <item x="8"/>
        <item x="9"/>
        <item x="4"/>
        <item x="10"/>
        <item x="14"/>
        <item x="2"/>
        <item x="0"/>
        <item x="11"/>
        <item t="default"/>
      </items>
    </pivotField>
    <pivotField axis="axisRow" showAll="0">
      <items count="18">
        <item x="5"/>
        <item x="15"/>
        <item x="1"/>
        <item x="3"/>
        <item x="14"/>
        <item x="7"/>
        <item x="8"/>
        <item x="2"/>
        <item x="12"/>
        <item x="4"/>
        <item x="16"/>
        <item x="0"/>
        <item x="13"/>
        <item x="9"/>
        <item x="6"/>
        <item x="10"/>
        <item x="11"/>
        <item t="default"/>
      </items>
    </pivotField>
    <pivotField showAll="0"/>
    <pivotField showAll="0"/>
    <pivotField showAll="0"/>
    <pivotField showAll="0"/>
  </pivotFields>
  <rowFields count="1">
    <field x="1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oyenne de CODE EPCI" fld="12" subtotal="average" baseField="13" baseItem="0"/>
    <dataField name="Somme de superficie" fld="3" baseField="0" baseItem="0"/>
    <dataField name="Nombre de code" fld="0" subtotal="count" baseField="13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7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11" firstHeaderRow="0" firstDataRow="1" firstDataCol="1" rowPageCount="1" colPageCount="1"/>
  <pivotFields count="45">
    <pivotField showAll="0"/>
    <pivotField showAll="0"/>
    <pivotField axis="axisRow" showAll="0">
      <items count="18">
        <item x="1"/>
        <item x="16"/>
        <item x="2"/>
        <item x="9"/>
        <item x="15"/>
        <item x="12"/>
        <item x="6"/>
        <item x="8"/>
        <item x="0"/>
        <item x="10"/>
        <item x="5"/>
        <item x="7"/>
        <item x="14"/>
        <item x="13"/>
        <item x="11"/>
        <item x="3"/>
        <item x="4"/>
        <item t="default"/>
      </items>
    </pivotField>
    <pivotField dataField="1" showAll="0"/>
    <pivotField dataField="1" showAll="0"/>
    <pivotField axis="axisPage" multipleItemSelectionAllowed="1" showAll="0">
      <items count="5">
        <item h="1" x="3"/>
        <item x="2"/>
        <item x="1"/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8">
    <i>
      <x/>
    </i>
    <i>
      <x v="2"/>
    </i>
    <i>
      <x v="6"/>
    </i>
    <i>
      <x v="8"/>
    </i>
    <i>
      <x v="10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5" hier="-1"/>
  </pageFields>
  <dataFields count="3">
    <dataField name="Nombre de LLS SRU" fld="3" subtotal="count" baseField="0" baseItem="0"/>
    <dataField name="Somme de LLS SRU manquants" fld="4" baseField="2" baseItem="0"/>
    <dataField name="Somme de Nombre LLS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8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AB21" firstHeaderRow="0" firstDataRow="1" firstDataCol="1"/>
  <pivotFields count="45">
    <pivotField showAll="0"/>
    <pivotField showAll="0"/>
    <pivotField axis="axisRow" showAll="0">
      <items count="18">
        <item x="1"/>
        <item x="16"/>
        <item x="2"/>
        <item x="9"/>
        <item x="15"/>
        <item x="12"/>
        <item x="6"/>
        <item x="8"/>
        <item x="0"/>
        <item x="10"/>
        <item x="5"/>
        <item x="7"/>
        <item x="14"/>
        <item x="13"/>
        <item x="11"/>
        <item x="3"/>
        <item x="4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>
      <items count="41">
        <item x="33"/>
        <item x="31"/>
        <item x="34"/>
        <item x="8"/>
        <item x="4"/>
        <item x="20"/>
        <item x="27"/>
        <item x="0"/>
        <item x="38"/>
        <item x="7"/>
        <item x="1"/>
        <item x="6"/>
        <item x="10"/>
        <item x="30"/>
        <item x="24"/>
        <item x="9"/>
        <item x="15"/>
        <item x="3"/>
        <item x="14"/>
        <item x="36"/>
        <item x="26"/>
        <item x="23"/>
        <item x="29"/>
        <item x="22"/>
        <item x="19"/>
        <item x="11"/>
        <item x="35"/>
        <item x="25"/>
        <item x="39"/>
        <item x="16"/>
        <item x="2"/>
        <item x="17"/>
        <item x="5"/>
        <item x="18"/>
        <item x="37"/>
        <item x="13"/>
        <item x="12"/>
        <item x="28"/>
        <item x="21"/>
        <item x="3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numFmtId="9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dataFields count="27">
    <dataField name="Somme de Nombre LLS" fld="7" baseField="0" baseItem="0"/>
    <dataField name="Somme de Dem LLS T1" fld="12" baseField="2" baseItem="13"/>
    <dataField name="Somme de Dem LLS T2" fld="13" baseField="2" baseItem="13"/>
    <dataField name="Somme de Dem LLS T3" fld="14" baseField="2" baseItem="13"/>
    <dataField name="Somme de Dem LLS T4" fld="15" baseField="2" baseItem="13"/>
    <dataField name="Somme de LLS 1 pièce" fld="16" baseField="0" baseItem="0"/>
    <dataField name="Somme de LLS 2 pièce2" fld="17" baseField="0" baseItem="0"/>
    <dataField name="Somme de LLS 3 pièce" fld="18" baseField="0" baseItem="0"/>
    <dataField name="Somme de LLS 4 pièce" fld="19" baseField="0" baseItem="0"/>
    <dataField name="Somme de LLS 5 pièce +" fld="20" baseField="0" baseItem="0"/>
    <dataField name="Somme de Demandes 2019 " fld="24" baseField="0" baseItem="0"/>
    <dataField name="Somme de Attributions 2019" fld="25" baseField="0" baseItem="0"/>
    <dataField name="Somme de Demandes 2020" fld="26" baseField="0" baseItem="0"/>
    <dataField name="Somme de Attributions 2020" fld="27" baseField="0" baseItem="0"/>
    <dataField name="Somme de PLAI Jeunes" fld="28" baseField="0" baseItem="0"/>
    <dataField name="Somme de PLAI Ménages" fld="29" baseField="0" baseItem="0"/>
    <dataField name="Somme de PLAI hébergementPublics maison relais ou res. d'accueil" fld="30" baseField="0" baseItem="0"/>
    <dataField name="Somme de PLAI Autres publics spécifiques" fld="31" baseField="0" baseItem="0"/>
    <dataField name="Somme de PLAI adapté Autres publics spécifiques" fld="32" baseField="0" baseItem="0"/>
    <dataField name="Somme de PLAI adapté Ménages" fld="33" baseField="0" baseItem="0"/>
    <dataField name="Somme de PLAI adapté hébergement" fld="34" baseField="0" baseItem="0"/>
    <dataField name="Somme de LI Etudiants" fld="35" baseField="0" baseItem="0"/>
    <dataField name="Somme de LI Jeunes" fld="36" baseField="0" baseItem="0"/>
    <dataField name="Somme de LI Ménages" fld="37" baseField="0" baseItem="0"/>
    <dataField name="Somme de LI Autres publics spécifiques" fld="38" baseField="0" baseItem="0"/>
    <dataField name="Somme de PLUS Ménages" fld="39" baseField="0" baseItem="0"/>
    <dataField name="Somme de PSLA Ménages" fld="40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9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Y22" firstHeaderRow="0" firstDataRow="1" firstDataCol="1"/>
  <pivotFields count="26">
    <pivotField showAll="0"/>
    <pivotField axis="axisRow" showAll="0">
      <items count="19">
        <item x="3"/>
        <item x="10"/>
        <item x="1"/>
        <item x="16"/>
        <item x="12"/>
        <item x="5"/>
        <item x="9"/>
        <item x="13"/>
        <item x="8"/>
        <item x="2"/>
        <item x="15"/>
        <item x="0"/>
        <item x="14"/>
        <item x="11"/>
        <item x="4"/>
        <item x="6"/>
        <item x="7"/>
        <item x="17"/>
        <item t="default"/>
      </items>
    </pivotField>
    <pivotField dataField="1" showAll="0"/>
    <pivotField dataField="1" showAll="0">
      <items count="5">
        <item x="2"/>
        <item x="1"/>
        <item x="3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0">
        <item x="17"/>
        <item x="15"/>
        <item x="16"/>
        <item x="22"/>
        <item x="23"/>
        <item x="14"/>
        <item x="13"/>
        <item x="6"/>
        <item x="4"/>
        <item x="8"/>
        <item x="2"/>
        <item x="20"/>
        <item x="27"/>
        <item x="5"/>
        <item x="9"/>
        <item x="21"/>
        <item x="24"/>
        <item x="11"/>
        <item x="25"/>
        <item x="10"/>
        <item x="7"/>
        <item x="26"/>
        <item x="1"/>
        <item x="19"/>
        <item x="12"/>
        <item x="3"/>
        <item x="18"/>
        <item x="28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23">
        <item x="16"/>
        <item x="19"/>
        <item x="18"/>
        <item x="17"/>
        <item x="14"/>
        <item x="6"/>
        <item x="1"/>
        <item x="3"/>
        <item x="11"/>
        <item x="13"/>
        <item x="5"/>
        <item x="8"/>
        <item x="2"/>
        <item x="20"/>
        <item x="10"/>
        <item x="15"/>
        <item x="7"/>
        <item x="9"/>
        <item x="4"/>
        <item x="12"/>
        <item x="21"/>
        <item x="0"/>
        <item t="default"/>
      </items>
    </pivotField>
    <pivotField dataField="1" showAll="0">
      <items count="65">
        <item x="32"/>
        <item x="27"/>
        <item x="19"/>
        <item x="45"/>
        <item x="4"/>
        <item x="12"/>
        <item x="51"/>
        <item x="50"/>
        <item x="1"/>
        <item x="55"/>
        <item x="7"/>
        <item x="44"/>
        <item x="5"/>
        <item x="29"/>
        <item x="39"/>
        <item x="23"/>
        <item x="31"/>
        <item x="24"/>
        <item x="22"/>
        <item x="13"/>
        <item x="3"/>
        <item x="14"/>
        <item x="49"/>
        <item x="41"/>
        <item x="40"/>
        <item x="11"/>
        <item x="16"/>
        <item x="26"/>
        <item x="43"/>
        <item x="46"/>
        <item x="37"/>
        <item x="47"/>
        <item x="53"/>
        <item x="21"/>
        <item x="36"/>
        <item x="25"/>
        <item x="17"/>
        <item x="60"/>
        <item x="10"/>
        <item x="6"/>
        <item x="38"/>
        <item x="56"/>
        <item x="59"/>
        <item x="9"/>
        <item x="18"/>
        <item x="57"/>
        <item x="8"/>
        <item x="20"/>
        <item x="34"/>
        <item x="48"/>
        <item x="58"/>
        <item x="35"/>
        <item x="52"/>
        <item x="15"/>
        <item x="62"/>
        <item x="54"/>
        <item x="28"/>
        <item x="33"/>
        <item x="61"/>
        <item x="30"/>
        <item x="2"/>
        <item x="42"/>
        <item x="6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Somme de ACM" fld="2" baseField="1" baseItem="0"/>
    <dataField name="Somme de ADAGES" fld="3" baseField="1" baseItem="0"/>
    <dataField name="Somme de CDC habitat" fld="4" baseField="1" baseItem="0"/>
    <dataField name="Somme de CDC habitat social" fld="5" baseField="1" baseItem="0"/>
    <dataField name="Somme de Entreprendre pour humaniser la dépendance" fld="6" baseField="1" baseItem="0"/>
    <dataField name="Somme de ERILIA" fld="7" baseField="1" baseItem="0"/>
    <dataField name="Somme de FDI Habitat" fld="8" baseField="1" baseItem="0"/>
    <dataField name="Somme de Foncière DI" fld="9" baseField="1" baseItem="0"/>
    <dataField name="Somme de Foncière RU" fld="10" baseField="1" baseItem="0"/>
    <dataField name="Somme de Habitat et Humanisme" fld="11" baseField="1" baseItem="0"/>
    <dataField name="Somme de Hérault Logement" fld="12" baseField="1" baseItem="0"/>
    <dataField name="Somme de HLM du LR" fld="13" baseField="1" baseItem="0"/>
    <dataField name="Somme de ICF" fld="14" baseField="1" baseItem="0"/>
    <dataField name="Somme de Immobilière Méditerranéenne (SA HLM de la Vallée du Thoré) : " fld="15" baseField="1" baseItem="0"/>
    <dataField name="Somme de La Cité-Jardins" fld="16" baseField="1" baseItem="0"/>
    <dataField name="Somme de OPH Béz.Médit.Habitat" fld="17" baseField="1" baseItem="0"/>
    <dataField name="Somme de OPH Sète" fld="18" baseField="1" baseItem="0"/>
    <dataField name="Somme de Patrimoine SA Languedocienne" fld="19" baseField="1" baseItem="0"/>
    <dataField name="Somme de PROMOLOGIS" fld="20" baseField="1" baseItem="0"/>
    <dataField name="Somme de Résidence sociale de France" fld="21" baseField="1" baseItem="0"/>
    <dataField name="Somme de SFHE" fld="22" baseField="1" baseItem="0"/>
    <dataField name="Somme de Soliha" fld="23" baseField="1" baseItem="0"/>
    <dataField name="Somme de Un toit pour tous" fld="24" baseField="1" baseItem="0"/>
    <dataField name="Somme de VILOGIA" fld="25" baseField="1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0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Z22" firstHeaderRow="0" firstDataRow="1" firstDataCol="1"/>
  <pivotFields count="36">
    <pivotField showAll="0"/>
    <pivotField axis="axisRow" showAll="0">
      <items count="19">
        <item x="5"/>
        <item x="15"/>
        <item x="1"/>
        <item x="3"/>
        <item x="14"/>
        <item x="7"/>
        <item x="8"/>
        <item x="2"/>
        <item x="12"/>
        <item x="4"/>
        <item x="16"/>
        <item x="0"/>
        <item x="13"/>
        <item x="9"/>
        <item x="6"/>
        <item x="10"/>
        <item x="11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>
      <items count="203">
        <item x="186"/>
        <item x="17"/>
        <item x="3"/>
        <item x="159"/>
        <item x="33"/>
        <item x="118"/>
        <item x="123"/>
        <item x="13"/>
        <item x="36"/>
        <item x="180"/>
        <item x="153"/>
        <item x="152"/>
        <item x="166"/>
        <item x="9"/>
        <item x="29"/>
        <item x="113"/>
        <item x="39"/>
        <item x="141"/>
        <item x="20"/>
        <item x="12"/>
        <item x="171"/>
        <item x="40"/>
        <item x="173"/>
        <item x="114"/>
        <item x="126"/>
        <item x="46"/>
        <item x="30"/>
        <item x="51"/>
        <item x="43"/>
        <item x="5"/>
        <item x="28"/>
        <item x="161"/>
        <item x="65"/>
        <item x="134"/>
        <item x="170"/>
        <item x="112"/>
        <item x="62"/>
        <item x="106"/>
        <item x="145"/>
        <item x="37"/>
        <item x="11"/>
        <item x="115"/>
        <item x="187"/>
        <item x="146"/>
        <item x="55"/>
        <item x="192"/>
        <item x="199"/>
        <item x="168"/>
        <item x="154"/>
        <item x="179"/>
        <item x="60"/>
        <item x="67"/>
        <item x="86"/>
        <item x="120"/>
        <item x="64"/>
        <item x="10"/>
        <item x="47"/>
        <item x="135"/>
        <item x="1"/>
        <item x="58"/>
        <item x="140"/>
        <item x="72"/>
        <item x="130"/>
        <item x="139"/>
        <item x="132"/>
        <item x="109"/>
        <item x="82"/>
        <item x="53"/>
        <item x="81"/>
        <item x="108"/>
        <item x="136"/>
        <item x="24"/>
        <item x="49"/>
        <item x="105"/>
        <item x="41"/>
        <item x="190"/>
        <item x="0"/>
        <item x="8"/>
        <item x="110"/>
        <item x="156"/>
        <item x="185"/>
        <item x="54"/>
        <item x="18"/>
        <item x="93"/>
        <item x="23"/>
        <item x="125"/>
        <item x="157"/>
        <item x="76"/>
        <item x="150"/>
        <item x="73"/>
        <item x="184"/>
        <item x="6"/>
        <item x="188"/>
        <item x="160"/>
        <item x="78"/>
        <item x="129"/>
        <item x="27"/>
        <item x="26"/>
        <item x="138"/>
        <item x="16"/>
        <item x="147"/>
        <item x="116"/>
        <item x="44"/>
        <item x="95"/>
        <item x="181"/>
        <item x="164"/>
        <item x="85"/>
        <item x="167"/>
        <item x="56"/>
        <item x="52"/>
        <item x="101"/>
        <item x="163"/>
        <item x="149"/>
        <item x="148"/>
        <item x="142"/>
        <item x="79"/>
        <item x="102"/>
        <item x="169"/>
        <item x="127"/>
        <item x="172"/>
        <item x="45"/>
        <item x="174"/>
        <item x="75"/>
        <item x="97"/>
        <item x="38"/>
        <item x="83"/>
        <item x="31"/>
        <item x="183"/>
        <item x="7"/>
        <item x="100"/>
        <item x="107"/>
        <item x="144"/>
        <item x="88"/>
        <item x="89"/>
        <item x="25"/>
        <item x="198"/>
        <item x="165"/>
        <item x="137"/>
        <item x="80"/>
        <item x="98"/>
        <item x="32"/>
        <item x="103"/>
        <item x="119"/>
        <item x="182"/>
        <item x="151"/>
        <item x="48"/>
        <item x="90"/>
        <item x="111"/>
        <item x="99"/>
        <item x="195"/>
        <item x="193"/>
        <item x="196"/>
        <item x="177"/>
        <item x="175"/>
        <item x="158"/>
        <item x="42"/>
        <item x="68"/>
        <item x="133"/>
        <item x="21"/>
        <item x="69"/>
        <item x="35"/>
        <item x="70"/>
        <item x="63"/>
        <item x="57"/>
        <item x="143"/>
        <item x="191"/>
        <item x="131"/>
        <item x="124"/>
        <item x="14"/>
        <item x="61"/>
        <item x="92"/>
        <item x="59"/>
        <item x="71"/>
        <item x="197"/>
        <item x="19"/>
        <item x="155"/>
        <item x="128"/>
        <item x="84"/>
        <item x="50"/>
        <item x="121"/>
        <item x="122"/>
        <item x="74"/>
        <item x="176"/>
        <item x="162"/>
        <item x="194"/>
        <item x="96"/>
        <item x="15"/>
        <item x="77"/>
        <item x="117"/>
        <item x="189"/>
        <item x="91"/>
        <item x="34"/>
        <item x="87"/>
        <item x="94"/>
        <item x="66"/>
        <item x="200"/>
        <item x="178"/>
        <item x="22"/>
        <item x="2"/>
        <item x="104"/>
        <item x="201"/>
        <item x="4"/>
        <item t="default"/>
      </items>
    </pivotField>
    <pivotField dataField="1" showAll="0">
      <items count="146">
        <item x="14"/>
        <item x="29"/>
        <item x="9"/>
        <item x="26"/>
        <item x="43"/>
        <item x="91"/>
        <item x="17"/>
        <item x="3"/>
        <item x="95"/>
        <item x="101"/>
        <item x="87"/>
        <item x="25"/>
        <item x="32"/>
        <item x="37"/>
        <item x="5"/>
        <item x="115"/>
        <item x="15"/>
        <item x="106"/>
        <item x="40"/>
        <item x="1"/>
        <item x="100"/>
        <item x="36"/>
        <item x="10"/>
        <item x="50"/>
        <item x="54"/>
        <item x="118"/>
        <item x="133"/>
        <item x="0"/>
        <item x="89"/>
        <item x="11"/>
        <item x="73"/>
        <item x="135"/>
        <item x="53"/>
        <item x="21"/>
        <item x="46"/>
        <item x="20"/>
        <item x="69"/>
        <item x="111"/>
        <item x="131"/>
        <item x="24"/>
        <item x="6"/>
        <item x="38"/>
        <item x="103"/>
        <item x="120"/>
        <item x="56"/>
        <item x="70"/>
        <item x="85"/>
        <item x="49"/>
        <item x="34"/>
        <item x="132"/>
        <item x="104"/>
        <item x="67"/>
        <item x="82"/>
        <item x="99"/>
        <item x="119"/>
        <item x="107"/>
        <item x="84"/>
        <item x="45"/>
        <item x="110"/>
        <item x="44"/>
        <item x="125"/>
        <item x="92"/>
        <item x="102"/>
        <item x="72"/>
        <item x="66"/>
        <item x="124"/>
        <item x="114"/>
        <item x="27"/>
        <item x="8"/>
        <item x="75"/>
        <item x="64"/>
        <item x="137"/>
        <item x="41"/>
        <item x="112"/>
        <item x="122"/>
        <item x="7"/>
        <item x="116"/>
        <item x="68"/>
        <item x="61"/>
        <item x="127"/>
        <item x="33"/>
        <item x="109"/>
        <item x="77"/>
        <item x="121"/>
        <item x="142"/>
        <item x="39"/>
        <item x="88"/>
        <item x="58"/>
        <item x="76"/>
        <item x="105"/>
        <item x="98"/>
        <item x="136"/>
        <item x="31"/>
        <item x="48"/>
        <item x="22"/>
        <item x="51"/>
        <item x="23"/>
        <item x="93"/>
        <item x="139"/>
        <item x="129"/>
        <item x="12"/>
        <item x="47"/>
        <item x="117"/>
        <item x="108"/>
        <item x="83"/>
        <item x="59"/>
        <item x="90"/>
        <item x="28"/>
        <item x="18"/>
        <item x="113"/>
        <item x="63"/>
        <item x="140"/>
        <item x="141"/>
        <item x="35"/>
        <item x="123"/>
        <item x="79"/>
        <item x="138"/>
        <item x="52"/>
        <item x="60"/>
        <item x="126"/>
        <item x="96"/>
        <item x="13"/>
        <item x="128"/>
        <item x="62"/>
        <item x="134"/>
        <item x="57"/>
        <item x="65"/>
        <item x="81"/>
        <item x="42"/>
        <item x="78"/>
        <item x="71"/>
        <item x="97"/>
        <item x="16"/>
        <item x="143"/>
        <item x="55"/>
        <item x="94"/>
        <item x="30"/>
        <item x="80"/>
        <item x="74"/>
        <item x="2"/>
        <item x="130"/>
        <item x="19"/>
        <item x="86"/>
        <item x="144"/>
        <item x="4"/>
        <item t="default"/>
      </items>
    </pivotField>
    <pivotField dataField="1" showAll="0">
      <items count="120">
        <item x="15"/>
        <item x="29"/>
        <item x="72"/>
        <item x="3"/>
        <item x="8"/>
        <item x="18"/>
        <item x="35"/>
        <item x="47"/>
        <item x="39"/>
        <item x="36"/>
        <item x="1"/>
        <item x="11"/>
        <item x="26"/>
        <item x="32"/>
        <item x="16"/>
        <item x="10"/>
        <item x="45"/>
        <item x="73"/>
        <item x="41"/>
        <item x="63"/>
        <item x="49"/>
        <item x="22"/>
        <item x="0"/>
        <item x="9"/>
        <item x="101"/>
        <item x="97"/>
        <item x="95"/>
        <item x="21"/>
        <item x="62"/>
        <item x="93"/>
        <item x="103"/>
        <item x="75"/>
        <item x="5"/>
        <item x="7"/>
        <item x="33"/>
        <item x="14"/>
        <item x="37"/>
        <item x="43"/>
        <item x="64"/>
        <item x="25"/>
        <item x="90"/>
        <item x="57"/>
        <item x="59"/>
        <item x="110"/>
        <item x="79"/>
        <item x="38"/>
        <item x="77"/>
        <item x="27"/>
        <item x="61"/>
        <item x="98"/>
        <item x="66"/>
        <item x="80"/>
        <item x="109"/>
        <item x="60"/>
        <item x="81"/>
        <item x="106"/>
        <item x="24"/>
        <item x="68"/>
        <item x="6"/>
        <item x="96"/>
        <item x="82"/>
        <item x="56"/>
        <item x="100"/>
        <item x="86"/>
        <item x="105"/>
        <item x="40"/>
        <item x="69"/>
        <item x="116"/>
        <item x="78"/>
        <item x="51"/>
        <item x="28"/>
        <item x="84"/>
        <item x="34"/>
        <item x="52"/>
        <item x="23"/>
        <item x="89"/>
        <item x="31"/>
        <item x="113"/>
        <item x="46"/>
        <item x="94"/>
        <item x="111"/>
        <item x="55"/>
        <item x="44"/>
        <item x="19"/>
        <item x="114"/>
        <item x="99"/>
        <item x="91"/>
        <item x="12"/>
        <item x="92"/>
        <item x="102"/>
        <item x="112"/>
        <item x="115"/>
        <item x="71"/>
        <item x="50"/>
        <item x="104"/>
        <item x="42"/>
        <item x="107"/>
        <item x="13"/>
        <item x="17"/>
        <item x="53"/>
        <item x="87"/>
        <item x="70"/>
        <item x="54"/>
        <item x="76"/>
        <item x="65"/>
        <item x="58"/>
        <item x="88"/>
        <item x="48"/>
        <item x="67"/>
        <item x="85"/>
        <item x="117"/>
        <item x="74"/>
        <item x="30"/>
        <item x="2"/>
        <item x="108"/>
        <item x="20"/>
        <item x="83"/>
        <item x="118"/>
        <item x="4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Somme de LI2016" fld="8" baseField="0" baseItem="0"/>
    <dataField name="Somme de LCS2016" fld="9" baseField="0" baseItem="0"/>
    <dataField name="Somme de LCTS2016" fld="10" baseField="0" baseItem="0"/>
    <dataField name="Somme de LI2017" fld="11" baseField="0" baseItem="0"/>
    <dataField name="Somme de LCS2017" fld="12" baseField="0" baseItem="0"/>
    <dataField name="Somme de LCTS2017" fld="13" baseField="0" baseItem="0"/>
    <dataField name="Somme de LI2018" fld="14" baseField="0" baseItem="0"/>
    <dataField name="Somme de LCS2018" fld="15" baseField="0" baseItem="0"/>
    <dataField name="Somme de LCTS2018" fld="16" baseField="0" baseItem="0"/>
    <dataField name="Somme de LI2019" fld="17" baseField="0" baseItem="0"/>
    <dataField name="Somme de LCS2019" fld="18" baseField="0" baseItem="0"/>
    <dataField name="Somme de LCTS2019" fld="19" baseField="0" baseItem="0"/>
    <dataField name="Somme de LI2020" fld="20" baseField="0" baseItem="0"/>
    <dataField name="Somme de LCS2020" fld="21" baseField="0" baseItem="0"/>
    <dataField name="Somme de LCTS2020" fld="22" baseField="0" baseItem="0"/>
    <dataField name="Somme de LI2020_Sanstravaux" fld="23" baseField="0" baseItem="0"/>
    <dataField name="Somme de LCS2020_Sanstravaux" fld="24" baseField="0" baseItem="0"/>
    <dataField name="Somme de LCTS2020_Sanstravaux" fld="25" baseField="0" baseItem="0"/>
    <dataField name="Somme de LI2020_travaux" fld="26" baseField="0" baseItem="0"/>
    <dataField name="Somme de LCS2020_travaux" fld="27" baseField="0" baseItem="0"/>
    <dataField name="Somme de LCTS2020_travaux" fld="28" baseField="0" baseItem="0"/>
    <dataField name="Somme de Nb_log_pp_2020" fld="29" baseField="1" baseItem="16"/>
    <dataField name="Somme de Nb_logvac_pp_010119" fld="30" baseField="1" baseItem="16"/>
    <dataField name="Somme de Nb_logvac_pp_C_010119" fld="31" baseField="1" baseItem="16"/>
    <dataField name="Somme de Nb_logvac_2A_010119" fld="32" baseField="1" baseItem="16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79"/>
  <sheetViews>
    <sheetView tabSelected="1" workbookViewId="0">
      <selection activeCell="M11" sqref="M11"/>
    </sheetView>
  </sheetViews>
  <sheetFormatPr baseColWidth="10" defaultRowHeight="15" x14ac:dyDescent="0.25"/>
  <cols>
    <col min="1" max="1" width="25" customWidth="1"/>
    <col min="2" max="2" width="50.28515625" customWidth="1"/>
    <col min="3" max="3" width="28.85546875" customWidth="1"/>
    <col min="4" max="4" width="22.85546875" customWidth="1"/>
    <col min="5" max="5" width="12.28515625" customWidth="1"/>
    <col min="7" max="7" width="16.5703125" customWidth="1"/>
    <col min="8" max="8" width="24" customWidth="1"/>
  </cols>
  <sheetData>
    <row r="1" spans="1:8" ht="47.25" customHeight="1" x14ac:dyDescent="0.5">
      <c r="A1" s="39"/>
      <c r="B1" s="40" t="s">
        <v>1259</v>
      </c>
      <c r="C1" s="41">
        <f>VLOOKUP(D1,EPCI!A:E,2,0)</f>
        <v>100259</v>
      </c>
      <c r="D1" s="126" t="s">
        <v>230</v>
      </c>
      <c r="E1" s="126"/>
      <c r="F1" s="126"/>
      <c r="G1" s="126"/>
      <c r="H1" s="127"/>
    </row>
    <row r="2" spans="1:8" ht="18" x14ac:dyDescent="0.25">
      <c r="A2" s="128" t="s">
        <v>1142</v>
      </c>
      <c r="B2" s="129"/>
      <c r="C2" s="129"/>
      <c r="D2" s="129"/>
      <c r="E2" s="129"/>
      <c r="F2" s="129"/>
      <c r="G2" s="129"/>
      <c r="H2" s="130"/>
    </row>
    <row r="3" spans="1:8" x14ac:dyDescent="0.25">
      <c r="A3" s="131" t="s">
        <v>1144</v>
      </c>
      <c r="B3" s="132"/>
      <c r="C3" s="132"/>
      <c r="D3" s="132"/>
      <c r="E3" s="132"/>
      <c r="F3" s="132"/>
      <c r="G3" s="132"/>
      <c r="H3" s="133"/>
    </row>
    <row r="4" spans="1:8" x14ac:dyDescent="0.25">
      <c r="A4" s="163" t="s">
        <v>1257</v>
      </c>
      <c r="B4" s="12" t="str">
        <f>VLOOKUP(D1,EPCI!A1:E19,5,0)</f>
        <v>M François COMMEINHES</v>
      </c>
      <c r="C4" s="76" t="s">
        <v>1143</v>
      </c>
      <c r="D4" s="12">
        <f>VLOOKUP(D1,EPCI!A:E,3,0)</f>
        <v>37479</v>
      </c>
      <c r="E4" s="151" t="s">
        <v>1258</v>
      </c>
      <c r="F4" s="152"/>
      <c r="G4" s="99">
        <f>VLOOKUP(D1,EPCI!A:E,4,0)</f>
        <v>14</v>
      </c>
      <c r="H4" s="109" t="str">
        <f>VLOOKUP(D1,EPCI!A:F,6,0)</f>
        <v>Adhère à l'ODH via leur OLL</v>
      </c>
    </row>
    <row r="5" spans="1:8" ht="18" x14ac:dyDescent="0.4">
      <c r="A5" s="128" t="s">
        <v>1145</v>
      </c>
      <c r="B5" s="129"/>
      <c r="C5" s="129"/>
      <c r="D5" s="129"/>
      <c r="E5" s="129"/>
      <c r="F5" s="129"/>
      <c r="G5" s="129"/>
      <c r="H5" s="130"/>
    </row>
    <row r="6" spans="1:8" ht="15.75" thickBot="1" x14ac:dyDescent="0.3">
      <c r="A6" s="118" t="s">
        <v>1248</v>
      </c>
      <c r="B6" s="119"/>
      <c r="C6" s="119"/>
      <c r="D6" s="119"/>
      <c r="E6" s="119"/>
      <c r="F6" s="119"/>
      <c r="G6" s="119"/>
      <c r="H6" s="120"/>
    </row>
    <row r="7" spans="1:8" s="85" customFormat="1" ht="15.75" thickBot="1" x14ac:dyDescent="0.3">
      <c r="A7" s="101" t="s">
        <v>1146</v>
      </c>
      <c r="B7" s="156" t="str">
        <f>VLOOKUP($D$1,URBA!$A$1:$L$18,3,0)</f>
        <v>SANS</v>
      </c>
      <c r="C7" s="156"/>
      <c r="D7" s="102" t="s">
        <v>15</v>
      </c>
      <c r="E7" s="157" t="str">
        <f>VLOOKUP($D$1,URBA!$A$1:$L$18,2,0)</f>
        <v>SCOT BASSIN DE THAU</v>
      </c>
      <c r="F7" s="157"/>
      <c r="G7" s="157"/>
      <c r="H7" s="158"/>
    </row>
    <row r="8" spans="1:8" s="85" customFormat="1" x14ac:dyDescent="0.25">
      <c r="A8" s="105" t="s">
        <v>16</v>
      </c>
      <c r="B8" s="159" t="str">
        <f>VLOOKUP($D$1,URBA!$A$1:$L$18,4,0)</f>
        <v>PLH opposable</v>
      </c>
      <c r="C8" s="159"/>
      <c r="D8" s="106" t="s">
        <v>1276</v>
      </c>
      <c r="E8" s="157" t="str">
        <f>VLOOKUP($D$1,URBA!$A$1:$L$18,5,0)</f>
        <v>PLH (2019-2024)</v>
      </c>
      <c r="F8" s="157"/>
      <c r="G8" s="157"/>
      <c r="H8" s="158"/>
    </row>
    <row r="9" spans="1:8" s="85" customFormat="1" ht="14.45" x14ac:dyDescent="0.35">
      <c r="A9" s="160" t="s">
        <v>1283</v>
      </c>
      <c r="B9" s="160"/>
      <c r="C9" s="160"/>
      <c r="D9" s="160"/>
      <c r="E9" s="160"/>
      <c r="F9" s="160"/>
      <c r="G9" s="160"/>
      <c r="H9" s="160"/>
    </row>
    <row r="10" spans="1:8" s="85" customFormat="1" x14ac:dyDescent="0.25">
      <c r="A10" s="103" t="s">
        <v>1279</v>
      </c>
      <c r="B10" s="98">
        <f>VLOOKUP($D$1,URBA!$A$1:$L$18,6,0)</f>
        <v>1200</v>
      </c>
      <c r="C10" s="103" t="s">
        <v>1280</v>
      </c>
      <c r="D10" s="151">
        <f>VLOOKUP($D$1,URBA!$A$1:$L$18,10,0)</f>
        <v>490</v>
      </c>
      <c r="E10" s="153"/>
      <c r="F10" s="103" t="s">
        <v>1269</v>
      </c>
      <c r="G10" s="151">
        <f>VLOOKUP($D$1,URBA!$A$1:$L$18,11,0)</f>
        <v>120</v>
      </c>
      <c r="H10" s="153"/>
    </row>
    <row r="11" spans="1:8" ht="14.45" x14ac:dyDescent="0.35">
      <c r="A11" s="103" t="s">
        <v>1278</v>
      </c>
      <c r="B11" s="98">
        <f>VLOOKUP($D$1,URBA!$A$1:$L$18,7,0)</f>
        <v>147</v>
      </c>
      <c r="C11" s="98" t="s">
        <v>1281</v>
      </c>
      <c r="D11" s="151">
        <f>VLOOKUP($D$1,URBA!$A$1:$L$18,8,0)</f>
        <v>245</v>
      </c>
      <c r="E11" s="153"/>
      <c r="F11" s="98" t="s">
        <v>1282</v>
      </c>
      <c r="G11" s="151">
        <f>VLOOKUP($D$1,URBA!$A$1:$L$18,9,0)</f>
        <v>98</v>
      </c>
      <c r="H11" s="153"/>
    </row>
    <row r="12" spans="1:8" ht="18" x14ac:dyDescent="0.25">
      <c r="A12" s="128" t="s">
        <v>1147</v>
      </c>
      <c r="B12" s="129"/>
      <c r="C12" s="129"/>
      <c r="D12" s="129"/>
      <c r="E12" s="129"/>
      <c r="F12" s="129"/>
      <c r="G12" s="129"/>
      <c r="H12" s="130"/>
    </row>
    <row r="13" spans="1:8" x14ac:dyDescent="0.25">
      <c r="A13" s="118" t="s">
        <v>1251</v>
      </c>
      <c r="B13" s="119"/>
      <c r="C13" s="119"/>
      <c r="D13" s="119"/>
      <c r="E13" s="119"/>
      <c r="F13" s="119"/>
      <c r="G13" s="119"/>
      <c r="H13" s="120"/>
    </row>
    <row r="14" spans="1:8" x14ac:dyDescent="0.25">
      <c r="A14" s="43"/>
      <c r="B14" s="13"/>
      <c r="C14" s="161" t="s">
        <v>1218</v>
      </c>
      <c r="D14" s="151"/>
      <c r="E14" s="123" t="s">
        <v>23</v>
      </c>
      <c r="F14" s="124"/>
      <c r="G14" s="124"/>
      <c r="H14" s="44" t="str">
        <f>CONCATENATE(VLOOKUP($D$1,DEMO!$A$2:$K$20,8,0)," %")</f>
        <v>0,23 %</v>
      </c>
    </row>
    <row r="15" spans="1:8" x14ac:dyDescent="0.25">
      <c r="A15" s="43"/>
      <c r="B15" s="13"/>
      <c r="C15" s="12">
        <v>1990</v>
      </c>
      <c r="D15" s="12">
        <f>VLOOKUP($D$1,DEMO!$A$2:$K$20,6,0)</f>
        <v>91381</v>
      </c>
      <c r="E15" s="110"/>
      <c r="F15" s="125" t="s">
        <v>1219</v>
      </c>
      <c r="G15" s="125"/>
      <c r="H15" s="100" t="str">
        <f>CONCATENATE(VLOOKUP($D$1,DEMO!$A$2:$K$20,9,0)," %")</f>
        <v>-0,06 %</v>
      </c>
    </row>
    <row r="16" spans="1:8" x14ac:dyDescent="0.25">
      <c r="A16" s="43"/>
      <c r="B16" s="13"/>
      <c r="C16" s="12">
        <v>1999</v>
      </c>
      <c r="D16" s="12">
        <f>VLOOKUP($D$1,DEMO!$A$2:$K$20,5,0)</f>
        <v>100231</v>
      </c>
      <c r="E16" s="110"/>
      <c r="F16" s="125" t="s">
        <v>1220</v>
      </c>
      <c r="G16" s="125"/>
      <c r="H16" s="100" t="str">
        <f>CONCATENATE(VLOOKUP($D$1,DEMO!$A$2:$K$20,10,0)," %")</f>
        <v>0,29 %</v>
      </c>
    </row>
    <row r="17" spans="1:8" ht="14.45" x14ac:dyDescent="0.35">
      <c r="A17" s="43"/>
      <c r="B17" s="13"/>
      <c r="C17" s="12">
        <v>2008</v>
      </c>
      <c r="D17" s="12">
        <f>VLOOKUP($D$1,DEMO!$A$2:$K$20,3,0)</f>
        <v>118250</v>
      </c>
      <c r="E17" s="13"/>
      <c r="F17" s="13"/>
      <c r="G17" s="13"/>
      <c r="H17" s="42"/>
    </row>
    <row r="18" spans="1:8" x14ac:dyDescent="0.25">
      <c r="A18" s="43"/>
      <c r="B18" s="13"/>
      <c r="C18" s="12">
        <v>2013</v>
      </c>
      <c r="D18" s="12">
        <f>VLOOKUP($D$1,DEMO!$A$2:$K$20,4,0)</f>
        <v>123905</v>
      </c>
      <c r="E18" s="13"/>
      <c r="F18" s="13"/>
      <c r="G18" s="154" t="s">
        <v>1221</v>
      </c>
      <c r="H18" s="155"/>
    </row>
    <row r="19" spans="1:8" x14ac:dyDescent="0.25">
      <c r="A19" s="43"/>
      <c r="B19" s="13"/>
      <c r="C19" s="12">
        <v>2019</v>
      </c>
      <c r="D19" s="12">
        <f>VLOOKUP($D$1,DEMO!$A$2:$K$20,2,0)</f>
        <v>126376</v>
      </c>
      <c r="E19" s="13"/>
      <c r="F19" s="13"/>
      <c r="G19" s="29" t="s">
        <v>1222</v>
      </c>
      <c r="H19" s="45" t="s">
        <v>1223</v>
      </c>
    </row>
    <row r="20" spans="1:8" x14ac:dyDescent="0.25">
      <c r="A20" s="43"/>
      <c r="B20" s="13"/>
      <c r="C20" s="38"/>
      <c r="D20" s="13"/>
      <c r="E20" s="13"/>
      <c r="F20" s="13"/>
      <c r="G20" s="76" t="str">
        <f>CONCATENATE(ROUND(VLOOKUP($D$1,DEMO!2:1048576,12,0),1)," %")</f>
        <v>57,8 %</v>
      </c>
      <c r="H20" s="45" t="str">
        <f>CONCATENATE(ROUND(VLOOKUP($D$1,DEMO!1:1048576,13,0),1)," %")</f>
        <v>42,2 %</v>
      </c>
    </row>
    <row r="21" spans="1:8" x14ac:dyDescent="0.25">
      <c r="A21" s="43"/>
      <c r="B21" s="13"/>
      <c r="C21" s="121" t="s">
        <v>1224</v>
      </c>
      <c r="D21" s="122" t="str">
        <f>CONCATENATE(VLOOKUP($D$1,DEMO!$A$2:$K$20,7,0)," %")</f>
        <v>0,3 %</v>
      </c>
      <c r="E21" s="13"/>
      <c r="F21" s="13"/>
      <c r="G21" s="38"/>
      <c r="H21" s="42"/>
    </row>
    <row r="22" spans="1:8" x14ac:dyDescent="0.25">
      <c r="A22" s="43"/>
      <c r="B22" s="13"/>
      <c r="C22" s="121"/>
      <c r="D22" s="122"/>
      <c r="E22" s="13"/>
      <c r="F22" s="13"/>
      <c r="G22" s="13"/>
      <c r="H22" s="42"/>
    </row>
    <row r="23" spans="1:8" ht="18" x14ac:dyDescent="0.25">
      <c r="A23" s="128" t="s">
        <v>1150</v>
      </c>
      <c r="B23" s="129"/>
      <c r="C23" s="129"/>
      <c r="D23" s="129"/>
      <c r="E23" s="129"/>
      <c r="F23" s="129"/>
      <c r="G23" s="129"/>
      <c r="H23" s="130"/>
    </row>
    <row r="24" spans="1:8" x14ac:dyDescent="0.25">
      <c r="A24" s="118" t="s">
        <v>1225</v>
      </c>
      <c r="B24" s="119"/>
      <c r="C24" s="119"/>
      <c r="D24" s="119"/>
      <c r="E24" s="119"/>
      <c r="F24" s="119"/>
      <c r="G24" s="119"/>
      <c r="H24" s="120"/>
    </row>
    <row r="25" spans="1:8" x14ac:dyDescent="0.25">
      <c r="A25" s="46"/>
      <c r="B25" s="13"/>
      <c r="C25" s="13"/>
      <c r="D25" s="27" t="s">
        <v>1154</v>
      </c>
      <c r="E25" s="113" t="s">
        <v>1153</v>
      </c>
      <c r="F25" s="113"/>
      <c r="G25" s="113"/>
      <c r="H25" s="42"/>
    </row>
    <row r="26" spans="1:8" ht="15" customHeight="1" x14ac:dyDescent="0.25">
      <c r="A26" s="47" t="str">
        <f>CONCATENATE(VLOOKUP(D1,LOGEMENTS!1:1048576,2,0), " logements dont ",VLOOKUP(D1,LOGEMENTS!1:1048576,3,0), " résidences principales")</f>
        <v>87057 logements dont 22983 résidences principales</v>
      </c>
      <c r="B26" s="13"/>
      <c r="C26" s="13"/>
      <c r="D26" s="28" t="s">
        <v>1151</v>
      </c>
      <c r="E26" s="113">
        <f>VLOOKUP(D1,LOGEMENTS!1:1048576,6,0)</f>
        <v>68.099999999999994</v>
      </c>
      <c r="F26" s="113"/>
      <c r="G26" s="113"/>
      <c r="H26" s="42"/>
    </row>
    <row r="27" spans="1:8" x14ac:dyDescent="0.25">
      <c r="A27" s="43"/>
      <c r="B27" s="13"/>
      <c r="C27" s="13"/>
      <c r="D27" s="28" t="s">
        <v>1189</v>
      </c>
      <c r="E27" s="113">
        <f>VLOOKUP(D1,LOGEMENTS!1:1048576,5,0)</f>
        <v>26.4</v>
      </c>
      <c r="F27" s="113"/>
      <c r="G27" s="113"/>
      <c r="H27" s="42"/>
    </row>
    <row r="28" spans="1:8" x14ac:dyDescent="0.25">
      <c r="A28" s="43"/>
      <c r="B28" s="13"/>
      <c r="C28" s="13"/>
      <c r="D28" s="28" t="s">
        <v>1152</v>
      </c>
      <c r="E28" s="113">
        <f>VLOOKUP(D1,LOGEMENTS!1:1048576,4,0)</f>
        <v>5.5</v>
      </c>
      <c r="F28" s="113"/>
      <c r="G28" s="113"/>
      <c r="H28" s="42"/>
    </row>
    <row r="29" spans="1:8" x14ac:dyDescent="0.25">
      <c r="A29" s="43"/>
      <c r="B29" s="13"/>
      <c r="C29" s="13"/>
      <c r="D29" s="13"/>
      <c r="E29" s="13"/>
      <c r="F29" s="13"/>
      <c r="G29" s="13"/>
      <c r="H29" s="42"/>
    </row>
    <row r="30" spans="1:8" ht="18" x14ac:dyDescent="0.25">
      <c r="A30" s="128" t="s">
        <v>1148</v>
      </c>
      <c r="B30" s="129"/>
      <c r="C30" s="129"/>
      <c r="D30" s="129"/>
      <c r="E30" s="129"/>
      <c r="F30" s="129"/>
      <c r="G30" s="129"/>
      <c r="H30" s="130"/>
    </row>
    <row r="31" spans="1:8" x14ac:dyDescent="0.25">
      <c r="A31" s="118" t="s">
        <v>1144</v>
      </c>
      <c r="B31" s="119"/>
      <c r="C31" s="119"/>
      <c r="D31" s="119"/>
      <c r="E31" s="119"/>
      <c r="F31" s="119"/>
      <c r="G31" s="119"/>
      <c r="H31" s="120"/>
    </row>
    <row r="32" spans="1:8" x14ac:dyDescent="0.25">
      <c r="A32" s="116" t="str">
        <f>IF(ISNA(VLOOKUP(D1,SRU!2:1048576,2,0)),"pas de commune SRU sur le territoire",CONCATENATE(VLOOKUP(D1,SRU!2:1048576,2,0)," communes SRU comptabilisant en tout ",VLOOKUP(D1,SRU!2:1048576,4,0)," LLS SRU et donc ",VLOOKUP(D1,SRU!2:1048576,3,0)," LLS manquants"))</f>
        <v>8 communes SRU comptabilisant en tout 7506 LLS SRU et donc 5348 LLS manquants</v>
      </c>
      <c r="B32" s="117"/>
      <c r="C32" s="117"/>
      <c r="D32" s="66" t="s">
        <v>1227</v>
      </c>
      <c r="E32" s="75" t="s">
        <v>1187</v>
      </c>
      <c r="F32" s="75" t="s">
        <v>1186</v>
      </c>
      <c r="G32" s="75" t="s">
        <v>1188</v>
      </c>
      <c r="H32" s="77" t="s">
        <v>1190</v>
      </c>
    </row>
    <row r="33" spans="1:19" x14ac:dyDescent="0.25">
      <c r="A33" s="94"/>
      <c r="B33" s="94"/>
      <c r="C33" s="94"/>
      <c r="D33" s="62" t="s">
        <v>1192</v>
      </c>
      <c r="E33" s="29">
        <f>VLOOKUP($D$1,PPUe!$1:$1048576,7,0)</f>
        <v>134</v>
      </c>
      <c r="F33" s="29">
        <f>(VLOOKUP($D$1,PPUe!$1:$1048576,8,0))</f>
        <v>1433</v>
      </c>
      <c r="G33" s="29">
        <f>VLOOKUP($D$1,PPUe!$1:$1048576,9,0)</f>
        <v>3175</v>
      </c>
      <c r="H33" s="45">
        <f>VLOOKUP($D$1,PPUe!$1:$1048576,10,0)+VLOOKUP($D$1,PPUe!$1:$1048576,11,0)</f>
        <v>2999</v>
      </c>
    </row>
    <row r="34" spans="1:19" x14ac:dyDescent="0.25">
      <c r="A34" s="94"/>
      <c r="B34" s="13"/>
      <c r="C34" s="114" t="s">
        <v>1191</v>
      </c>
      <c r="D34" s="115"/>
      <c r="E34" s="29">
        <f>VLOOKUP($D$1,PPUe!$1:$1048576,3,0)</f>
        <v>404</v>
      </c>
      <c r="F34" s="29">
        <f>(VLOOKUP($D$1,PPUe!$1:$1048576,4,0))</f>
        <v>1535</v>
      </c>
      <c r="G34" s="29">
        <f>VLOOKUP($D$1,PPUe!$1:$1048576,5,0)</f>
        <v>1407</v>
      </c>
      <c r="H34" s="45">
        <f>VLOOKUP($D$1,PPUe!$1:$1048576,6,0)</f>
        <v>903</v>
      </c>
      <c r="M34" s="64"/>
      <c r="N34" s="64"/>
      <c r="O34" s="64"/>
      <c r="P34" s="64"/>
      <c r="Q34" s="64"/>
      <c r="R34" s="64"/>
      <c r="S34" s="65"/>
    </row>
    <row r="35" spans="1:19" x14ac:dyDescent="0.25">
      <c r="A35" s="43"/>
      <c r="B35" s="13"/>
      <c r="C35" s="13"/>
      <c r="D35" s="62" t="s">
        <v>1157</v>
      </c>
      <c r="E35" s="164">
        <f>VLOOKUP($D$1,PPUe!$1:$1048576,29,0)</f>
        <v>36.700000000000003</v>
      </c>
      <c r="F35" s="164">
        <f>VLOOKUP($D$1,PPUe!$1:$1048576,30,0)</f>
        <v>14.8</v>
      </c>
      <c r="G35" s="164">
        <f>VLOOKUP($D$1,PPUe!$1:$1048576,31,0)</f>
        <v>7.9</v>
      </c>
      <c r="H35" s="164">
        <f>VLOOKUP($D$1,PPUe!$1:$1048576,32,0)</f>
        <v>7.7</v>
      </c>
    </row>
    <row r="36" spans="1:19" x14ac:dyDescent="0.25">
      <c r="A36" s="43"/>
      <c r="B36" s="13"/>
      <c r="C36" s="13"/>
      <c r="D36" s="13"/>
      <c r="E36" s="13"/>
      <c r="F36" s="13"/>
      <c r="G36" s="13"/>
      <c r="H36" s="42"/>
    </row>
    <row r="37" spans="1:19" x14ac:dyDescent="0.25">
      <c r="A37" s="111" t="s">
        <v>1253</v>
      </c>
      <c r="B37" s="112"/>
      <c r="C37" s="13"/>
      <c r="D37" s="16"/>
      <c r="E37" s="13"/>
      <c r="F37" s="13"/>
      <c r="G37" s="137" t="s">
        <v>1193</v>
      </c>
      <c r="H37" s="138"/>
    </row>
    <row r="38" spans="1:19" x14ac:dyDescent="0.25">
      <c r="A38" s="131" t="s">
        <v>1252</v>
      </c>
      <c r="B38" s="132"/>
      <c r="C38" s="13"/>
      <c r="D38" s="16"/>
      <c r="E38" s="13"/>
      <c r="F38" s="13"/>
      <c r="G38" s="140" t="s">
        <v>1227</v>
      </c>
      <c r="H38" s="141"/>
    </row>
    <row r="39" spans="1:19" x14ac:dyDescent="0.25">
      <c r="A39" s="48" t="s">
        <v>1155</v>
      </c>
      <c r="B39" s="22" t="str">
        <f>CONCATENATE(VLOOKUP(D1,PPUe!1:1048576,2,0)," LLS")</f>
        <v>7741 LLS</v>
      </c>
      <c r="C39" s="13"/>
      <c r="D39" s="16"/>
      <c r="E39" s="13"/>
      <c r="F39" s="13"/>
      <c r="G39" s="30" t="s">
        <v>1197</v>
      </c>
      <c r="H39" s="165" t="str">
        <f>CONCATENATE(ROUND(VLOOKUP($D$1,PPUe!$1:$1048576,33,0),1)," %")</f>
        <v>6,1 %</v>
      </c>
    </row>
    <row r="40" spans="1:19" x14ac:dyDescent="0.25">
      <c r="A40" s="49" t="s">
        <v>1184</v>
      </c>
      <c r="B40" s="23" t="str">
        <f>IF(ISNA(VLOOKUP(D1,HLMe!1:1048576,12,0)),"",CONCATENATE(VLOOKUP(D1,HLMe!1:1048576,12,0)," LLS"))</f>
        <v>2901 LLS</v>
      </c>
      <c r="C40" s="13"/>
      <c r="D40" s="13"/>
      <c r="E40" s="13"/>
      <c r="F40" s="13"/>
      <c r="G40" s="30" t="s">
        <v>1198</v>
      </c>
      <c r="H40" s="165" t="str">
        <f>CONCATENATE(ROUND(VLOOKUP($D$1,PPUe!$1:$1048576,34,0),1)," %")</f>
        <v>1 %</v>
      </c>
    </row>
    <row r="41" spans="1:19" x14ac:dyDescent="0.25">
      <c r="A41" s="49" t="s">
        <v>1185</v>
      </c>
      <c r="B41" s="23" t="str">
        <f>CONCATENATE(SUM(B42:B63)," LLS")</f>
        <v>4840 LLS</v>
      </c>
      <c r="C41" s="13"/>
      <c r="D41" s="13"/>
      <c r="E41" s="13"/>
      <c r="F41" s="13"/>
      <c r="G41" s="30" t="s">
        <v>1195</v>
      </c>
      <c r="H41" s="45">
        <f>ROUND(H44/H46,1)</f>
        <v>8.8000000000000007</v>
      </c>
    </row>
    <row r="42" spans="1:19" x14ac:dyDescent="0.25">
      <c r="A42" s="50" t="s">
        <v>1159</v>
      </c>
      <c r="B42" s="24">
        <f>IF(ISNA(VLOOKUP(D1,HLMe!1:1048576,12,0)),"",VLOOKUP(D1,HLMe!1:1048576,2,0))</f>
        <v>0</v>
      </c>
      <c r="C42" s="13"/>
      <c r="D42" s="13"/>
      <c r="E42" s="13"/>
      <c r="F42" s="13"/>
      <c r="G42" s="30" t="s">
        <v>1196</v>
      </c>
      <c r="H42" s="45">
        <f>ROUND(H45/H47,1)</f>
        <v>11.5</v>
      </c>
    </row>
    <row r="43" spans="1:19" x14ac:dyDescent="0.25">
      <c r="A43" s="50" t="s">
        <v>1160</v>
      </c>
      <c r="B43" s="24">
        <f>IF(ISNA(VLOOKUP(D1,HLMe!1:1048576,12,0)),"",VLOOKUP(D1,HLMe!1:1048576,3,0))</f>
        <v>11</v>
      </c>
      <c r="C43" s="13"/>
      <c r="D43" s="13"/>
      <c r="E43" s="13"/>
      <c r="F43" s="13"/>
      <c r="G43" s="13"/>
      <c r="H43" s="42"/>
    </row>
    <row r="44" spans="1:19" x14ac:dyDescent="0.25">
      <c r="A44" s="50" t="s">
        <v>1161</v>
      </c>
      <c r="B44" s="24">
        <f>IF(ISNA(VLOOKUP(D1,HLMe!1:1048576,12,0)),"",VLOOKUP(D1,HLMe!1:1048576,4,0))</f>
        <v>0</v>
      </c>
      <c r="C44" s="13"/>
      <c r="D44" s="13"/>
      <c r="E44" s="13"/>
      <c r="F44" s="139" t="s">
        <v>1203</v>
      </c>
      <c r="G44" s="29" t="s">
        <v>1194</v>
      </c>
      <c r="H44" s="45">
        <f>VLOOKUP($D$1,PPUe!1:1048576,12,0)</f>
        <v>4842</v>
      </c>
    </row>
    <row r="45" spans="1:19" x14ac:dyDescent="0.25">
      <c r="A45" s="50" t="s">
        <v>1162</v>
      </c>
      <c r="B45" s="24">
        <f>IF(ISNA(VLOOKUP(D1,HLMe!1:1048576,12,0)),"",VLOOKUP(D1,HLMe!1:1048576,5,0))</f>
        <v>73</v>
      </c>
      <c r="C45" s="74"/>
      <c r="D45" s="26"/>
      <c r="E45" s="13"/>
      <c r="F45" s="139"/>
      <c r="G45" s="29" t="s">
        <v>56</v>
      </c>
      <c r="H45" s="45">
        <f>VLOOKUP($D$1,PPUe!1:1048576,14,0)</f>
        <v>4716</v>
      </c>
    </row>
    <row r="46" spans="1:19" x14ac:dyDescent="0.25">
      <c r="A46" s="51" t="s">
        <v>1163</v>
      </c>
      <c r="B46" s="24">
        <f>IF(ISNA(VLOOKUP(D1,HLMe!1:1048576,12,0)),"",VLOOKUP(D1,HLMe!1:1048576,6,0))</f>
        <v>0</v>
      </c>
      <c r="C46" s="74"/>
      <c r="D46" s="26"/>
      <c r="E46" s="13"/>
      <c r="F46" s="139"/>
      <c r="G46" s="29" t="s">
        <v>55</v>
      </c>
      <c r="H46" s="45">
        <f>VLOOKUP($D$1,PPUe!1:1048576,13,0)</f>
        <v>548</v>
      </c>
    </row>
    <row r="47" spans="1:19" x14ac:dyDescent="0.25">
      <c r="A47" s="50" t="s">
        <v>1164</v>
      </c>
      <c r="B47" s="24">
        <f>IF(ISNA(VLOOKUP(D1,HLMe!1:1048576,12,0)),"",VLOOKUP(D1,HLMe!1:1048576,7,0))</f>
        <v>332</v>
      </c>
      <c r="C47" s="74"/>
      <c r="D47" s="26"/>
      <c r="E47" s="13"/>
      <c r="F47" s="139"/>
      <c r="G47" s="29" t="s">
        <v>57</v>
      </c>
      <c r="H47" s="45">
        <f>VLOOKUP($D$1,PPUe!1:1048576,15,0)</f>
        <v>409</v>
      </c>
    </row>
    <row r="48" spans="1:19" x14ac:dyDescent="0.25">
      <c r="A48" s="50" t="s">
        <v>1165</v>
      </c>
      <c r="B48" s="24">
        <f>IF(ISNA(VLOOKUP(D1,HLMe!1:1048576,12,0)),"",VLOOKUP(D1,HLMe!1:1048576,8,0))</f>
        <v>385</v>
      </c>
      <c r="C48" s="13"/>
      <c r="D48" s="113" t="s">
        <v>1202</v>
      </c>
      <c r="E48" s="113"/>
      <c r="F48" s="13"/>
      <c r="G48" s="13"/>
      <c r="H48" s="42"/>
    </row>
    <row r="49" spans="1:8" x14ac:dyDescent="0.25">
      <c r="A49" s="50" t="s">
        <v>1166</v>
      </c>
      <c r="B49" s="24">
        <f>IF(ISNA(VLOOKUP(D1,HLMe!1:1048576,12,0)),"",VLOOKUP(D1,HLMe!1:1048576,9,0)+VLOOKUP(D1,HLMe!1:1048576,10,0))</f>
        <v>62</v>
      </c>
      <c r="C49" s="13"/>
      <c r="D49" s="140" t="s">
        <v>1226</v>
      </c>
      <c r="E49" s="140"/>
      <c r="F49" s="13"/>
      <c r="G49" s="13"/>
      <c r="H49" s="42"/>
    </row>
    <row r="50" spans="1:8" ht="15" customHeight="1" x14ac:dyDescent="0.25">
      <c r="A50" s="50" t="s">
        <v>1168</v>
      </c>
      <c r="B50" s="24">
        <f>IF(ISNA(VLOOKUP(D1,HLMe!1:1048576,12,0)),"",VLOOKUP(D1,HLMe!1:1048576,11,0))</f>
        <v>0</v>
      </c>
      <c r="C50" s="13"/>
      <c r="D50" s="31" t="s">
        <v>59</v>
      </c>
      <c r="E50" s="75">
        <f>VLOOKUP($D$1,PPUe!1:1048576,17,0)</f>
        <v>265</v>
      </c>
      <c r="F50" s="13"/>
      <c r="G50" s="13"/>
      <c r="H50" s="42"/>
    </row>
    <row r="51" spans="1:8" x14ac:dyDescent="0.25">
      <c r="A51" s="50" t="s">
        <v>1169</v>
      </c>
      <c r="B51" s="25">
        <f>IF(ISNA(VLOOKUP(D1,HLMe!1:1048576,12,0)),"",VLOOKUP(D1,HLMe!1:1048576,13,0))</f>
        <v>0</v>
      </c>
      <c r="C51" s="13"/>
      <c r="D51" s="31" t="s">
        <v>58</v>
      </c>
      <c r="E51" s="75">
        <f>VLOOKUP($D$1,PPUe!1:1048576,16,0)</f>
        <v>0</v>
      </c>
      <c r="F51" s="13"/>
      <c r="G51" s="13"/>
      <c r="H51" s="42"/>
    </row>
    <row r="52" spans="1:8" x14ac:dyDescent="0.25">
      <c r="A52" s="50" t="s">
        <v>1170</v>
      </c>
      <c r="B52" s="25">
        <f>IF(ISNA(VLOOKUP(D1,HLMe!1:1048576,12,0)),"",VLOOKUP(D1,HLMe!1:1048576,14,0))</f>
        <v>91</v>
      </c>
      <c r="C52" s="13"/>
      <c r="D52" s="31" t="s">
        <v>1199</v>
      </c>
      <c r="E52" s="75">
        <f>VLOOKUP($D$1,PPUe!1:1048576,18,0)</f>
        <v>0</v>
      </c>
      <c r="F52" s="13"/>
      <c r="G52" s="13"/>
      <c r="H52" s="42"/>
    </row>
    <row r="53" spans="1:8" x14ac:dyDescent="0.25">
      <c r="A53" s="50" t="s">
        <v>1183</v>
      </c>
      <c r="B53" s="24">
        <f>IF(ISNA(VLOOKUP(D1,HLMe!1:1048576,12,0)),"",VLOOKUP(D1,HLMe!1:1048576,15,0))</f>
        <v>126</v>
      </c>
      <c r="C53" s="13"/>
      <c r="D53" s="31" t="s">
        <v>1200</v>
      </c>
      <c r="E53" s="75">
        <f>VLOOKUP($D$1,PPUe!1:1048576,19,0)</f>
        <v>0</v>
      </c>
      <c r="F53" s="13"/>
      <c r="G53" s="13"/>
      <c r="H53" s="42"/>
    </row>
    <row r="54" spans="1:8" x14ac:dyDescent="0.25">
      <c r="A54" s="50" t="s">
        <v>1172</v>
      </c>
      <c r="B54" s="24">
        <f>IF(ISNA(VLOOKUP(D1,HLMe!1:1048576,12,0)),"",VLOOKUP(D1,HLMe!1:1048576,16,0))</f>
        <v>0</v>
      </c>
      <c r="C54" s="13"/>
      <c r="D54" s="31" t="s">
        <v>63</v>
      </c>
      <c r="E54" s="75">
        <f>VLOOKUP($D$1,PPUe!1:1048576,21,0)</f>
        <v>0</v>
      </c>
      <c r="F54" s="13"/>
      <c r="G54" s="13"/>
      <c r="H54" s="42"/>
    </row>
    <row r="55" spans="1:8" x14ac:dyDescent="0.25">
      <c r="A55" s="50" t="s">
        <v>1173</v>
      </c>
      <c r="B55" s="24">
        <f>IF(ISNA(VLOOKUP(D1,HLMe!1:1048576,12,0)),"",VLOOKUP(D1,HLMe!1:1048576,17,0))</f>
        <v>0</v>
      </c>
      <c r="C55" s="13"/>
      <c r="D55" s="31" t="s">
        <v>64</v>
      </c>
      <c r="E55" s="75">
        <f>VLOOKUP($D$1,PPUe!1:1048576,22,0)</f>
        <v>0</v>
      </c>
      <c r="F55" s="13"/>
      <c r="G55" s="13"/>
      <c r="H55" s="42"/>
    </row>
    <row r="56" spans="1:8" x14ac:dyDescent="0.25">
      <c r="A56" s="50" t="s">
        <v>1174</v>
      </c>
      <c r="B56" s="24">
        <f>IF(ISNA(VLOOKUP(D1,HLMe!1:1048576,12,0)),"",VLOOKUP(D1,HLMe!1:1048576,18,0))</f>
        <v>3109</v>
      </c>
      <c r="C56" s="13"/>
      <c r="D56" s="31" t="s">
        <v>1201</v>
      </c>
      <c r="E56" s="75">
        <f>VLOOKUP($D$1,PPUe!1:1048576,20,0)</f>
        <v>0</v>
      </c>
      <c r="F56" s="13"/>
      <c r="G56" s="13"/>
      <c r="H56" s="42"/>
    </row>
    <row r="57" spans="1:8" x14ac:dyDescent="0.25">
      <c r="A57" s="50" t="s">
        <v>1175</v>
      </c>
      <c r="B57" s="24">
        <f>IF(ISNA(VLOOKUP(D1,HLMe!1:1048576,12,0)),"",VLOOKUP(D1,HLMe!1:1048576,19,0))</f>
        <v>92</v>
      </c>
      <c r="C57" s="13"/>
      <c r="D57" s="35" t="s">
        <v>1213</v>
      </c>
      <c r="E57" s="75">
        <f>SUM(E50:E56)</f>
        <v>265</v>
      </c>
      <c r="F57" s="13"/>
      <c r="G57" s="13"/>
      <c r="H57" s="42"/>
    </row>
    <row r="58" spans="1:8" s="8" customFormat="1" x14ac:dyDescent="0.25">
      <c r="A58" s="50" t="s">
        <v>1176</v>
      </c>
      <c r="B58" s="24">
        <f>IF(ISNA(VLOOKUP(D1,HLMe!1:1048576,12,0)),"",VLOOKUP(D1,HLMe!1:1048576,20,0))</f>
        <v>244</v>
      </c>
      <c r="C58" s="78"/>
      <c r="D58" s="35" t="s">
        <v>69</v>
      </c>
      <c r="E58" s="75">
        <f>VLOOKUP($D$1,PPUe!1:1048576,27,0)</f>
        <v>487</v>
      </c>
      <c r="F58" s="78"/>
      <c r="G58" s="78"/>
      <c r="H58" s="53"/>
    </row>
    <row r="59" spans="1:8" s="8" customFormat="1" x14ac:dyDescent="0.25">
      <c r="A59" s="50" t="s">
        <v>1177</v>
      </c>
      <c r="B59" s="24">
        <f>IF(ISNA(VLOOKUP(D1,HLMe!1:1048576,12,0)),"",VLOOKUP(D1,HLMe!1:1048576,21,0))</f>
        <v>0</v>
      </c>
      <c r="C59" s="78"/>
      <c r="D59" s="31" t="s">
        <v>1209</v>
      </c>
      <c r="E59" s="75">
        <f>VLOOKUP($D$1,PPUe!1:1048576,25,0)</f>
        <v>40</v>
      </c>
      <c r="F59" s="78"/>
      <c r="G59" s="78"/>
      <c r="H59" s="53"/>
    </row>
    <row r="60" spans="1:8" s="8" customFormat="1" x14ac:dyDescent="0.25">
      <c r="A60" s="50" t="s">
        <v>1178</v>
      </c>
      <c r="B60" s="24">
        <f>IF(ISNA(VLOOKUP(D1,HLMe!1:1048576,12,0)),"",VLOOKUP(D1,HLMe!1:1048576,22,0))</f>
        <v>248</v>
      </c>
      <c r="C60" s="78"/>
      <c r="D60" s="31" t="s">
        <v>1210</v>
      </c>
      <c r="E60" s="75">
        <f>VLOOKUP($D$1,PPUe!1:1048576,24,0)</f>
        <v>0</v>
      </c>
      <c r="F60" s="78"/>
      <c r="G60" s="78"/>
      <c r="H60" s="53"/>
    </row>
    <row r="61" spans="1:8" s="8" customFormat="1" x14ac:dyDescent="0.25">
      <c r="A61" s="50" t="s">
        <v>1179</v>
      </c>
      <c r="B61" s="24">
        <f>IF(ISNA(VLOOKUP(D1,HLMe!1:1048576,12,0)),"",VLOOKUP(D1,HLMe!1:1048576,23,0))</f>
        <v>0</v>
      </c>
      <c r="C61" s="78"/>
      <c r="D61" s="31" t="s">
        <v>1211</v>
      </c>
      <c r="E61" s="75">
        <f>VLOOKUP($D$1,PPUe!1:1048576,23,0)</f>
        <v>0</v>
      </c>
      <c r="F61" s="78"/>
      <c r="G61" s="78"/>
      <c r="H61" s="53"/>
    </row>
    <row r="62" spans="1:8" s="8" customFormat="1" x14ac:dyDescent="0.25">
      <c r="A62" s="50" t="s">
        <v>1180</v>
      </c>
      <c r="B62" s="24">
        <f>IF(ISNA(VLOOKUP(D1,HLMe!1:1048576,12,0)),"",VLOOKUP(D1,HLMe!1:1048576,24,0))</f>
        <v>67</v>
      </c>
      <c r="C62" s="78"/>
      <c r="D62" s="31" t="s">
        <v>1212</v>
      </c>
      <c r="E62" s="75">
        <f>VLOOKUP($D$1,PPUe!1:1048576,26,0)</f>
        <v>0</v>
      </c>
      <c r="F62" s="78"/>
      <c r="G62" s="78"/>
      <c r="H62" s="53"/>
    </row>
    <row r="63" spans="1:8" s="8" customFormat="1" x14ac:dyDescent="0.25">
      <c r="A63" s="50" t="s">
        <v>1181</v>
      </c>
      <c r="B63" s="24">
        <f>IF(ISNA(VLOOKUP(D1,HLMe!1:1048576,12,0)),"",VLOOKUP(D1,HLMe!1:1048576,25,0))</f>
        <v>0</v>
      </c>
      <c r="C63" s="63"/>
      <c r="D63" s="35" t="s">
        <v>1214</v>
      </c>
      <c r="E63" s="75">
        <f>SUM(E59:E62)</f>
        <v>40</v>
      </c>
      <c r="F63" s="78"/>
      <c r="G63" s="78"/>
      <c r="H63" s="53"/>
    </row>
    <row r="64" spans="1:8" s="8" customFormat="1" x14ac:dyDescent="0.25">
      <c r="A64" s="52"/>
      <c r="B64" s="32"/>
      <c r="C64" s="78"/>
      <c r="D64" s="35" t="s">
        <v>70</v>
      </c>
      <c r="E64" s="75">
        <f>VLOOKUP($D$1,PPUe!1:1048576,28,0)</f>
        <v>30</v>
      </c>
      <c r="F64" s="78"/>
      <c r="G64" s="78"/>
      <c r="H64" s="53"/>
    </row>
    <row r="65" spans="1:8" s="8" customFormat="1" x14ac:dyDescent="0.25">
      <c r="A65" s="52"/>
      <c r="B65" s="32"/>
      <c r="C65" s="78"/>
      <c r="D65" s="35" t="s">
        <v>1215</v>
      </c>
      <c r="E65" s="75">
        <f>E57+E58+E63+E64</f>
        <v>822</v>
      </c>
      <c r="F65" s="78"/>
      <c r="G65" s="78"/>
      <c r="H65" s="53"/>
    </row>
    <row r="66" spans="1:8" s="8" customFormat="1" x14ac:dyDescent="0.25">
      <c r="A66" s="52"/>
      <c r="B66" s="32"/>
      <c r="C66" s="33"/>
      <c r="D66" s="34"/>
      <c r="E66" s="33"/>
      <c r="F66" s="33"/>
      <c r="G66" s="34"/>
      <c r="H66" s="53"/>
    </row>
    <row r="67" spans="1:8" ht="18" x14ac:dyDescent="0.25">
      <c r="A67" s="128" t="s">
        <v>1149</v>
      </c>
      <c r="B67" s="129"/>
      <c r="C67" s="129"/>
      <c r="D67" s="129"/>
      <c r="E67" s="129"/>
      <c r="F67" s="129"/>
      <c r="G67" s="129"/>
      <c r="H67" s="130"/>
    </row>
    <row r="68" spans="1:8" ht="15.75" thickBot="1" x14ac:dyDescent="0.3">
      <c r="A68" s="118" t="s">
        <v>1246</v>
      </c>
      <c r="B68" s="119"/>
      <c r="C68" s="119"/>
      <c r="D68" s="119"/>
      <c r="E68" s="119"/>
      <c r="F68" s="119"/>
      <c r="G68" s="119"/>
      <c r="H68" s="120"/>
    </row>
    <row r="69" spans="1:8" ht="15.75" thickBot="1" x14ac:dyDescent="0.3">
      <c r="A69" s="148" t="str">
        <f>CONCATENATE(VLOOKUP($D$1,PPRe!1:1048576,23,0)," logements dans parc privé")</f>
        <v>80807 logements dans parc privé</v>
      </c>
      <c r="B69" s="149"/>
      <c r="C69" s="149"/>
      <c r="D69" s="149"/>
      <c r="E69" s="149"/>
      <c r="F69" s="149"/>
      <c r="G69" s="149"/>
      <c r="H69" s="150"/>
    </row>
    <row r="70" spans="1:8" ht="15.75" thickBot="1" x14ac:dyDescent="0.3">
      <c r="A70" s="142" t="s">
        <v>1243</v>
      </c>
      <c r="B70" s="143"/>
      <c r="C70" s="71">
        <f>VLOOKUP($D$1,PPRe!1:1048576,24,0)</f>
        <v>6360</v>
      </c>
      <c r="D70" s="143" t="str">
        <f>"-τ de logements vacants du parc privé au 01/01/2019"</f>
        <v>-τ de logements vacants du parc privé au 01/01/2019</v>
      </c>
      <c r="E70" s="143"/>
      <c r="F70" s="143"/>
      <c r="G70" s="143"/>
      <c r="H70" s="108" t="str">
        <f>CONCATENATE(ROUND(C70/VLOOKUP($D$1,PPRe!$A$4:$Z$23,23,0)*100,1)," %")</f>
        <v>7,9 %</v>
      </c>
    </row>
    <row r="71" spans="1:8" ht="15.75" thickBot="1" x14ac:dyDescent="0.3">
      <c r="A71" s="144" t="s">
        <v>1244</v>
      </c>
      <c r="B71" s="145"/>
      <c r="C71" s="72">
        <f>VLOOKUP($D$1,PPRe!1:1048576,25,0)</f>
        <v>4769</v>
      </c>
      <c r="D71" s="145" t="str">
        <f>"-τ de logements du parc privé vacants depuis moins de deux ans au 01/01/2019"</f>
        <v>-τ de logements du parc privé vacants depuis moins de deux ans au 01/01/2019</v>
      </c>
      <c r="E71" s="145"/>
      <c r="F71" s="145"/>
      <c r="G71" s="145"/>
      <c r="H71" s="108" t="str">
        <f>CONCATENATE(ROUND(C71/VLOOKUP($D$1,PPRe!$A$4:$Z$23,23,0)*100,1)," %")</f>
        <v>5,9 %</v>
      </c>
    </row>
    <row r="72" spans="1:8" ht="15.75" thickBot="1" x14ac:dyDescent="0.3">
      <c r="A72" s="146" t="s">
        <v>1245</v>
      </c>
      <c r="B72" s="147"/>
      <c r="C72" s="73">
        <f>VLOOKUP($D$1,PPRe!1:1048576,26,0)</f>
        <v>1591</v>
      </c>
      <c r="D72" s="147" t="str">
        <f>"-τ de logements du parc privé vacants depuis deux ans ou plus au 01/01/2019"</f>
        <v>-τ de logements du parc privé vacants depuis deux ans ou plus au 01/01/2019</v>
      </c>
      <c r="E72" s="147"/>
      <c r="F72" s="147"/>
      <c r="G72" s="147"/>
      <c r="H72" s="108" t="str">
        <f>CONCATENATE(ROUND(C72/VLOOKUP($D$1,PPRe!$A$4:$Z$23,23,0)*100,1)," %")</f>
        <v>2 %</v>
      </c>
    </row>
    <row r="73" spans="1:8" x14ac:dyDescent="0.25">
      <c r="A73" s="118" t="s">
        <v>1247</v>
      </c>
      <c r="B73" s="119"/>
      <c r="C73" s="119"/>
      <c r="D73" s="119"/>
      <c r="E73" s="119"/>
      <c r="F73" s="119"/>
      <c r="G73" s="119"/>
      <c r="H73" s="120"/>
    </row>
    <row r="74" spans="1:8" x14ac:dyDescent="0.25">
      <c r="A74" s="134" t="s">
        <v>1204</v>
      </c>
      <c r="B74" s="135"/>
      <c r="C74" s="135"/>
      <c r="D74" s="135"/>
      <c r="E74" s="135"/>
      <c r="F74" s="135"/>
      <c r="G74" s="135"/>
      <c r="H74" s="136"/>
    </row>
    <row r="75" spans="1:8" x14ac:dyDescent="0.25">
      <c r="A75" s="54"/>
      <c r="B75" s="75">
        <v>2016</v>
      </c>
      <c r="C75" s="75">
        <v>2017</v>
      </c>
      <c r="D75" s="75">
        <v>2018</v>
      </c>
      <c r="E75" s="75">
        <v>2019</v>
      </c>
      <c r="F75" s="75">
        <v>2020</v>
      </c>
      <c r="G75" s="36" t="s">
        <v>1216</v>
      </c>
      <c r="H75" s="55" t="s">
        <v>1217</v>
      </c>
    </row>
    <row r="76" spans="1:8" x14ac:dyDescent="0.25">
      <c r="A76" s="56" t="s">
        <v>1205</v>
      </c>
      <c r="B76" s="12">
        <f>VLOOKUP($D$1,PPRe!1:1048576,2,0)</f>
        <v>7</v>
      </c>
      <c r="C76" s="12">
        <f>VLOOKUP(D1,PPRe!1:1048576,5,0)</f>
        <v>0</v>
      </c>
      <c r="D76" s="12">
        <f>VLOOKUP(D1,PPRe!1:1048576,8,0)</f>
        <v>0</v>
      </c>
      <c r="E76" s="12">
        <f>VLOOKUP(D1,PPRe!1:1048576,11,0)</f>
        <v>10</v>
      </c>
      <c r="F76" s="12">
        <f>VLOOKUP(D1,PPRe!1:1048576,14,0)</f>
        <v>7</v>
      </c>
      <c r="G76" s="37">
        <f>VLOOKUP(D1,PPRe!1:1048576,20,0)</f>
        <v>5</v>
      </c>
      <c r="H76" s="57">
        <f>VLOOKUP(D1,PPRe!1:1048576,17,0)</f>
        <v>2</v>
      </c>
    </row>
    <row r="77" spans="1:8" x14ac:dyDescent="0.25">
      <c r="A77" s="56" t="s">
        <v>1206</v>
      </c>
      <c r="B77" s="12">
        <f>VLOOKUP(D1,PPRe!1:1048576,3,0)</f>
        <v>21</v>
      </c>
      <c r="C77" s="12">
        <f>VLOOKUP(D1,PPRe!1:1048576,6,0)</f>
        <v>9</v>
      </c>
      <c r="D77" s="12">
        <f>VLOOKUP(D1,PPRe!1:1048576,9,0)</f>
        <v>16</v>
      </c>
      <c r="E77" s="12">
        <f>VLOOKUP(D1,PPRe!1:1048576,12,0)</f>
        <v>12</v>
      </c>
      <c r="F77" s="12">
        <f>VLOOKUP(D1,PPRe!1:1048576,15,0)</f>
        <v>21</v>
      </c>
      <c r="G77" s="37">
        <f>VLOOKUP(D1,PPRe!1:1048576,21,0)</f>
        <v>18</v>
      </c>
      <c r="H77" s="57">
        <f>VLOOKUP(D1,PPRe!1:1048576,18,0)</f>
        <v>3</v>
      </c>
    </row>
    <row r="78" spans="1:8" x14ac:dyDescent="0.25">
      <c r="A78" s="56" t="s">
        <v>1207</v>
      </c>
      <c r="B78" s="12">
        <f>VLOOKUP(D1,PPRe!1:1048576,4,0)</f>
        <v>1</v>
      </c>
      <c r="C78" s="12">
        <f>VLOOKUP(D1,PPRe!1:1048576,7,0)</f>
        <v>6</v>
      </c>
      <c r="D78" s="12">
        <f>VLOOKUP(D1,PPRe!1:1048576,10,0)</f>
        <v>0</v>
      </c>
      <c r="E78" s="12">
        <f>VLOOKUP(D1,PPRe!1:1048576,13,0)</f>
        <v>1</v>
      </c>
      <c r="F78" s="12">
        <f>VLOOKUP(D1,PPRe!1:1048576,16,0)</f>
        <v>6</v>
      </c>
      <c r="G78" s="37">
        <f>VLOOKUP(D1,PPRe!1:1048576,22,0)</f>
        <v>6</v>
      </c>
      <c r="H78" s="57">
        <f>VLOOKUP(D1,PPRe!1:1048576,19,0)</f>
        <v>0</v>
      </c>
    </row>
    <row r="79" spans="1:8" ht="15.75" thickBot="1" x14ac:dyDescent="0.3">
      <c r="A79" s="58" t="s">
        <v>1208</v>
      </c>
      <c r="B79" s="59">
        <f>SUM(B76:B78)</f>
        <v>29</v>
      </c>
      <c r="C79" s="59">
        <f t="shared" ref="C79:H79" si="0">SUM(C76:C78)</f>
        <v>15</v>
      </c>
      <c r="D79" s="59">
        <f t="shared" si="0"/>
        <v>16</v>
      </c>
      <c r="E79" s="59">
        <f t="shared" si="0"/>
        <v>23</v>
      </c>
      <c r="F79" s="59">
        <f t="shared" si="0"/>
        <v>34</v>
      </c>
      <c r="G79" s="60">
        <f t="shared" si="0"/>
        <v>29</v>
      </c>
      <c r="H79" s="61">
        <f t="shared" si="0"/>
        <v>5</v>
      </c>
    </row>
  </sheetData>
  <sheetProtection sheet="1" objects="1" scenarios="1"/>
  <mergeCells count="52">
    <mergeCell ref="A69:H69"/>
    <mergeCell ref="E4:F4"/>
    <mergeCell ref="D10:E10"/>
    <mergeCell ref="D11:E11"/>
    <mergeCell ref="G10:H10"/>
    <mergeCell ref="G11:H11"/>
    <mergeCell ref="G18:H18"/>
    <mergeCell ref="B7:C7"/>
    <mergeCell ref="E7:H7"/>
    <mergeCell ref="B8:C8"/>
    <mergeCell ref="E8:H8"/>
    <mergeCell ref="A9:H9"/>
    <mergeCell ref="A23:H23"/>
    <mergeCell ref="A30:H30"/>
    <mergeCell ref="A31:H31"/>
    <mergeCell ref="C14:D14"/>
    <mergeCell ref="A74:H74"/>
    <mergeCell ref="A68:H68"/>
    <mergeCell ref="A67:H67"/>
    <mergeCell ref="G37:H37"/>
    <mergeCell ref="F44:F47"/>
    <mergeCell ref="A38:B38"/>
    <mergeCell ref="D49:E49"/>
    <mergeCell ref="G38:H38"/>
    <mergeCell ref="A73:H73"/>
    <mergeCell ref="A70:B70"/>
    <mergeCell ref="A71:B71"/>
    <mergeCell ref="A72:B72"/>
    <mergeCell ref="D70:G70"/>
    <mergeCell ref="D72:G72"/>
    <mergeCell ref="D71:G71"/>
    <mergeCell ref="D48:E48"/>
    <mergeCell ref="D1:H1"/>
    <mergeCell ref="A2:H2"/>
    <mergeCell ref="A3:H3"/>
    <mergeCell ref="A5:H5"/>
    <mergeCell ref="A12:H12"/>
    <mergeCell ref="A6:H6"/>
    <mergeCell ref="A24:H24"/>
    <mergeCell ref="A13:H13"/>
    <mergeCell ref="C21:C22"/>
    <mergeCell ref="D21:D22"/>
    <mergeCell ref="E14:G14"/>
    <mergeCell ref="F15:G15"/>
    <mergeCell ref="F16:G16"/>
    <mergeCell ref="A37:B37"/>
    <mergeCell ref="E27:G27"/>
    <mergeCell ref="C34:D34"/>
    <mergeCell ref="E25:G25"/>
    <mergeCell ref="E26:G26"/>
    <mergeCell ref="E28:G28"/>
    <mergeCell ref="A32:C32"/>
  </mergeCells>
  <pageMargins left="0.7" right="0.7" top="0.75" bottom="0.75" header="0.3" footer="0.3"/>
  <pageSetup paperSize="9" scale="46" orientation="portrait" horizontalDpi="4294967293" verticalDpi="4294967293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EPCI!$A$2:$A$18</xm:f>
          </x14:formula1>
          <xm:sqref>D1:H1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88"/>
  <sheetViews>
    <sheetView workbookViewId="0">
      <selection activeCell="M3" sqref="M3"/>
    </sheetView>
  </sheetViews>
  <sheetFormatPr baseColWidth="10" defaultRowHeight="15" x14ac:dyDescent="0.25"/>
  <cols>
    <col min="2" max="2" width="10.85546875" style="85"/>
  </cols>
  <sheetData>
    <row r="2" spans="1:26" x14ac:dyDescent="0.25">
      <c r="A2" s="17" t="s">
        <v>1158</v>
      </c>
      <c r="B2" s="95" t="s">
        <v>1285</v>
      </c>
      <c r="C2" s="17" t="s">
        <v>1159</v>
      </c>
      <c r="D2" s="17" t="s">
        <v>1160</v>
      </c>
      <c r="E2" s="17" t="s">
        <v>1161</v>
      </c>
      <c r="F2" s="17" t="s">
        <v>1162</v>
      </c>
      <c r="G2" s="17" t="s">
        <v>1163</v>
      </c>
      <c r="H2" s="17" t="s">
        <v>1164</v>
      </c>
      <c r="I2" s="17" t="s">
        <v>1165</v>
      </c>
      <c r="J2" s="17" t="s">
        <v>1166</v>
      </c>
      <c r="K2" s="17" t="s">
        <v>1167</v>
      </c>
      <c r="L2" s="17" t="s">
        <v>1168</v>
      </c>
      <c r="M2" s="17" t="s">
        <v>1156</v>
      </c>
      <c r="N2" s="17" t="s">
        <v>1169</v>
      </c>
      <c r="O2" s="17" t="s">
        <v>1170</v>
      </c>
      <c r="P2" s="17" t="s">
        <v>1171</v>
      </c>
      <c r="Q2" s="17" t="s">
        <v>1172</v>
      </c>
      <c r="R2" s="17" t="s">
        <v>1173</v>
      </c>
      <c r="S2" s="17" t="s">
        <v>1174</v>
      </c>
      <c r="T2" s="17" t="s">
        <v>1175</v>
      </c>
      <c r="U2" s="17" t="s">
        <v>1176</v>
      </c>
      <c r="V2" s="17" t="s">
        <v>1177</v>
      </c>
      <c r="W2" s="17" t="s">
        <v>1178</v>
      </c>
      <c r="X2" s="17" t="s">
        <v>1179</v>
      </c>
      <c r="Y2" s="17" t="s">
        <v>1180</v>
      </c>
      <c r="Z2" s="17" t="s">
        <v>1181</v>
      </c>
    </row>
    <row r="3" spans="1:26" ht="14.45" x14ac:dyDescent="0.35">
      <c r="A3" s="18">
        <v>34001</v>
      </c>
      <c r="B3" s="96" t="str">
        <f>VLOOKUP(A3,ADM!$A$1:$R$343,14,0)</f>
        <v>CC les Avant-Monts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>
        <v>25</v>
      </c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45" x14ac:dyDescent="0.35">
      <c r="A4" s="18">
        <v>34002</v>
      </c>
      <c r="B4" s="96" t="str">
        <f>VLOOKUP(A4,ADM!$A$1:$R$343,14,0)</f>
        <v>CA Hérault-Méditerranée</v>
      </c>
      <c r="C4" s="19"/>
      <c r="D4" s="19"/>
      <c r="E4" s="19"/>
      <c r="F4" s="19"/>
      <c r="G4" s="19"/>
      <c r="H4" s="19"/>
      <c r="I4" s="19">
        <v>12</v>
      </c>
      <c r="J4" s="19"/>
      <c r="K4" s="19"/>
      <c r="L4" s="19"/>
      <c r="M4" s="19">
        <v>17</v>
      </c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4.45" x14ac:dyDescent="0.35">
      <c r="A5" s="18">
        <v>34003</v>
      </c>
      <c r="B5" s="96" t="str">
        <f>VLOOKUP(A5,ADM!$A$1:$R$343,14,0)</f>
        <v>CA Hérault-Méditerranée</v>
      </c>
      <c r="C5" s="19"/>
      <c r="D5" s="19"/>
      <c r="E5" s="19"/>
      <c r="F5" s="19"/>
      <c r="G5" s="19"/>
      <c r="H5" s="19"/>
      <c r="I5" s="19">
        <v>453</v>
      </c>
      <c r="J5" s="19"/>
      <c r="K5" s="19"/>
      <c r="L5" s="19">
        <v>3</v>
      </c>
      <c r="M5" s="19">
        <v>379</v>
      </c>
      <c r="N5" s="19"/>
      <c r="O5" s="19"/>
      <c r="P5" s="19">
        <v>57</v>
      </c>
      <c r="Q5" s="19"/>
      <c r="R5" s="19">
        <v>5</v>
      </c>
      <c r="S5" s="19">
        <v>119</v>
      </c>
      <c r="T5" s="19"/>
      <c r="U5" s="19">
        <v>47</v>
      </c>
      <c r="V5" s="19"/>
      <c r="W5" s="19">
        <v>102</v>
      </c>
      <c r="X5" s="19">
        <v>4</v>
      </c>
      <c r="Y5" s="19">
        <v>35</v>
      </c>
      <c r="Z5" s="19"/>
    </row>
    <row r="6" spans="1:26" ht="14.45" x14ac:dyDescent="0.35">
      <c r="A6" s="18">
        <v>34008</v>
      </c>
      <c r="B6" s="96" t="str">
        <f>VLOOKUP(A6,ADM!$A$1:$R$343,14,0)</f>
        <v>CC Grand Orb en Languedoc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>
        <v>10</v>
      </c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4.45" x14ac:dyDescent="0.35">
      <c r="A7" s="18">
        <v>34009</v>
      </c>
      <c r="B7" s="96" t="str">
        <f>VLOOKUP(A7,ADM!$A$1:$R$343,14,0)</f>
        <v>CA de Béziers-Méditerranée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>
        <v>13</v>
      </c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4.45" x14ac:dyDescent="0.35">
      <c r="A8" s="18">
        <v>34010</v>
      </c>
      <c r="B8" s="96" t="str">
        <f>VLOOKUP(A8,ADM!$A$1:$R$343,14,0)</f>
        <v>CC Vallée de l'hérault</v>
      </c>
      <c r="C8" s="19"/>
      <c r="D8" s="19"/>
      <c r="E8" s="19"/>
      <c r="F8" s="19"/>
      <c r="G8" s="19"/>
      <c r="H8" s="19"/>
      <c r="I8" s="19">
        <v>24</v>
      </c>
      <c r="J8" s="19"/>
      <c r="K8" s="19"/>
      <c r="L8" s="19"/>
      <c r="M8" s="19">
        <v>36</v>
      </c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4.45" x14ac:dyDescent="0.35">
      <c r="A9" s="18">
        <v>34013</v>
      </c>
      <c r="B9" s="96" t="str">
        <f>VLOOKUP(A9,ADM!$A$1:$R$343,14,0)</f>
        <v>CC du Clermontais</v>
      </c>
      <c r="C9" s="19"/>
      <c r="D9" s="19"/>
      <c r="E9" s="19"/>
      <c r="F9" s="19"/>
      <c r="G9" s="19"/>
      <c r="H9" s="19"/>
      <c r="I9" s="19">
        <v>8</v>
      </c>
      <c r="J9" s="19"/>
      <c r="K9" s="19"/>
      <c r="L9" s="19"/>
      <c r="M9" s="19">
        <v>7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4.45" x14ac:dyDescent="0.35">
      <c r="A10" s="18">
        <v>34019</v>
      </c>
      <c r="B10" s="96" t="str">
        <f>VLOOKUP(A10,ADM!$A$1:$R$343,14,0)</f>
        <v>CC Grand Orb en Languedoc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>
        <v>7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4.45" x14ac:dyDescent="0.35">
      <c r="A11" s="18">
        <v>34022</v>
      </c>
      <c r="B11" s="96" t="str">
        <f>VLOOKUP(A11,ADM!$A$1:$R$343,14,0)</f>
        <v>Montpellier Méditerranée Métropole</v>
      </c>
      <c r="C11" s="19">
        <v>96</v>
      </c>
      <c r="D11" s="19"/>
      <c r="E11" s="19"/>
      <c r="F11" s="19">
        <v>152</v>
      </c>
      <c r="G11" s="19"/>
      <c r="H11" s="19">
        <v>55</v>
      </c>
      <c r="I11" s="19">
        <v>16</v>
      </c>
      <c r="J11" s="19"/>
      <c r="K11" s="19"/>
      <c r="L11" s="19"/>
      <c r="M11" s="19"/>
      <c r="N11" s="19"/>
      <c r="O11" s="19">
        <v>12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4.45" x14ac:dyDescent="0.35">
      <c r="A12" s="18">
        <v>34023</v>
      </c>
      <c r="B12" s="96" t="str">
        <f>VLOOKUP(A12,ADM!$A$1:$R$343,14,0)</f>
        <v>Sète Agglopôle Méditerranée</v>
      </c>
      <c r="C12" s="19"/>
      <c r="D12" s="19"/>
      <c r="E12" s="19"/>
      <c r="F12" s="19">
        <v>29</v>
      </c>
      <c r="G12" s="19"/>
      <c r="H12" s="19">
        <v>109</v>
      </c>
      <c r="I12" s="19">
        <v>65</v>
      </c>
      <c r="J12" s="19"/>
      <c r="K12" s="19"/>
      <c r="L12" s="19"/>
      <c r="M12" s="19">
        <v>138</v>
      </c>
      <c r="N12" s="19"/>
      <c r="O12" s="19"/>
      <c r="P12" s="19"/>
      <c r="Q12" s="19"/>
      <c r="R12" s="19"/>
      <c r="S12" s="19">
        <v>3</v>
      </c>
      <c r="T12" s="19">
        <v>60</v>
      </c>
      <c r="U12" s="19"/>
      <c r="V12" s="19"/>
      <c r="W12" s="19"/>
      <c r="X12" s="19"/>
      <c r="Y12" s="19"/>
      <c r="Z12" s="19"/>
    </row>
    <row r="13" spans="1:26" ht="14.45" x14ac:dyDescent="0.35">
      <c r="A13" s="18">
        <v>34024</v>
      </c>
      <c r="B13" s="96" t="str">
        <f>VLOOKUP(A13,ADM!$A$1:$R$343,14,0)</f>
        <v>Sète Agglopôle Méditerranée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>
        <v>49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>
        <v>27</v>
      </c>
      <c r="Z13" s="19"/>
    </row>
    <row r="14" spans="1:26" ht="14.45" x14ac:dyDescent="0.35">
      <c r="A14" s="18">
        <v>34025</v>
      </c>
      <c r="B14" s="96" t="str">
        <f>VLOOKUP(A14,ADM!$A$1:$R$343,14,0)</f>
        <v>CA de Béziers-Méditerranée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>
        <v>19</v>
      </c>
      <c r="S14" s="19"/>
      <c r="T14" s="19"/>
      <c r="U14" s="19"/>
      <c r="V14" s="19"/>
      <c r="W14" s="19"/>
      <c r="X14" s="19"/>
      <c r="Y14" s="19"/>
      <c r="Z14" s="19"/>
    </row>
    <row r="15" spans="1:26" ht="14.45" x14ac:dyDescent="0.35">
      <c r="A15" s="18">
        <v>34027</v>
      </c>
      <c r="B15" s="96" t="str">
        <f>VLOOKUP(A15,ADM!$A$1:$R$343,14,0)</f>
        <v>Montpellier Méditerranée Métropole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>
        <v>30</v>
      </c>
      <c r="V15" s="19"/>
      <c r="W15" s="19">
        <v>30</v>
      </c>
      <c r="X15" s="19"/>
      <c r="Y15" s="19"/>
      <c r="Z15" s="19"/>
    </row>
    <row r="16" spans="1:26" ht="14.45" x14ac:dyDescent="0.35">
      <c r="A16" s="18">
        <v>34028</v>
      </c>
      <c r="B16" s="96" t="str">
        <f>VLOOKUP(A16,ADM!$A$1:$R$343,14,0)</f>
        <v>CC Grand Orb en Languedoc</v>
      </c>
      <c r="C16" s="19"/>
      <c r="D16" s="19"/>
      <c r="E16" s="19"/>
      <c r="F16" s="19"/>
      <c r="G16" s="19"/>
      <c r="H16" s="19"/>
      <c r="I16" s="19">
        <v>14</v>
      </c>
      <c r="J16" s="19"/>
      <c r="K16" s="19"/>
      <c r="L16" s="19"/>
      <c r="M16" s="19">
        <v>145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4.45" x14ac:dyDescent="0.35">
      <c r="A17" s="18">
        <v>34029</v>
      </c>
      <c r="B17" s="96" t="str">
        <f>VLOOKUP(A17,ADM!$A$1:$R$343,14,0)</f>
        <v>CC Vallée de l'hérault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10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4.45" x14ac:dyDescent="0.35">
      <c r="A18" s="18">
        <v>34031</v>
      </c>
      <c r="B18" s="96" t="str">
        <f>VLOOKUP(A18,ADM!$A$1:$R$343,14,0)</f>
        <v>CA Hérault-Méditerranée</v>
      </c>
      <c r="C18" s="19"/>
      <c r="D18" s="19"/>
      <c r="E18" s="19"/>
      <c r="F18" s="19"/>
      <c r="G18" s="19"/>
      <c r="H18" s="19"/>
      <c r="I18" s="19">
        <v>93</v>
      </c>
      <c r="J18" s="19"/>
      <c r="K18" s="19"/>
      <c r="L18" s="19"/>
      <c r="M18" s="19">
        <v>67</v>
      </c>
      <c r="N18" s="19"/>
      <c r="O18" s="19"/>
      <c r="P18" s="19"/>
      <c r="Q18" s="19"/>
      <c r="R18" s="19"/>
      <c r="S18" s="19"/>
      <c r="T18" s="19"/>
      <c r="U18" s="19">
        <v>32</v>
      </c>
      <c r="V18" s="19"/>
      <c r="W18" s="19">
        <v>30</v>
      </c>
      <c r="X18" s="19"/>
      <c r="Y18" s="19"/>
      <c r="Z18" s="19"/>
    </row>
    <row r="19" spans="1:26" ht="14.45" x14ac:dyDescent="0.35">
      <c r="A19" s="18">
        <v>34032</v>
      </c>
      <c r="B19" s="96" t="str">
        <f>VLOOKUP(A19,ADM!$A$1:$R$343,14,0)</f>
        <v>CA de Béziers-Méditerranée</v>
      </c>
      <c r="C19" s="19"/>
      <c r="D19" s="19"/>
      <c r="E19" s="19"/>
      <c r="F19" s="19"/>
      <c r="G19" s="19"/>
      <c r="H19" s="19">
        <v>65</v>
      </c>
      <c r="I19" s="19">
        <v>80</v>
      </c>
      <c r="J19" s="19">
        <v>32</v>
      </c>
      <c r="K19" s="19">
        <v>28</v>
      </c>
      <c r="L19" s="19">
        <v>9</v>
      </c>
      <c r="M19" s="19">
        <v>159</v>
      </c>
      <c r="N19" s="19"/>
      <c r="O19" s="19">
        <v>212</v>
      </c>
      <c r="P19" s="19">
        <v>45</v>
      </c>
      <c r="Q19" s="19">
        <v>92</v>
      </c>
      <c r="R19" s="19">
        <v>6337</v>
      </c>
      <c r="S19" s="19"/>
      <c r="T19" s="19">
        <v>98</v>
      </c>
      <c r="U19" s="19">
        <v>87</v>
      </c>
      <c r="V19" s="19"/>
      <c r="W19" s="19">
        <v>130</v>
      </c>
      <c r="X19" s="19"/>
      <c r="Y19" s="19">
        <v>63</v>
      </c>
      <c r="Z19" s="19"/>
    </row>
    <row r="20" spans="1:26" x14ac:dyDescent="0.25">
      <c r="A20" s="18">
        <v>34033</v>
      </c>
      <c r="B20" s="96" t="str">
        <f>VLOOKUP(A20,ADM!$A$1:$R$343,14,0)</f>
        <v>CC du Pays de Lunel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>
        <v>2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x14ac:dyDescent="0.25">
      <c r="A21" s="18">
        <v>34037</v>
      </c>
      <c r="B21" s="96" t="str">
        <f>VLOOKUP(A21,ADM!$A$1:$R$343,14,0)</f>
        <v>CA de Béziers-Méditerranée</v>
      </c>
      <c r="C21" s="19"/>
      <c r="D21" s="19"/>
      <c r="E21" s="19"/>
      <c r="F21" s="19"/>
      <c r="G21" s="19"/>
      <c r="H21" s="19"/>
      <c r="I21" s="19">
        <v>61</v>
      </c>
      <c r="J21" s="19"/>
      <c r="K21" s="19"/>
      <c r="L21" s="19"/>
      <c r="M21" s="19"/>
      <c r="N21" s="19"/>
      <c r="O21" s="19"/>
      <c r="P21" s="19"/>
      <c r="Q21" s="19"/>
      <c r="R21" s="19">
        <v>12</v>
      </c>
      <c r="S21" s="19"/>
      <c r="T21" s="19"/>
      <c r="U21" s="19">
        <v>37</v>
      </c>
      <c r="V21" s="19"/>
      <c r="W21" s="19"/>
      <c r="X21" s="19"/>
      <c r="Y21" s="19"/>
      <c r="Z21" s="19"/>
    </row>
    <row r="22" spans="1:26" x14ac:dyDescent="0.25">
      <c r="A22" s="18">
        <v>34038</v>
      </c>
      <c r="B22" s="96" t="str">
        <f>VLOOKUP(A22,ADM!$A$1:$R$343,14,0)</f>
        <v>CC Grand Orb en Languedoc</v>
      </c>
      <c r="C22" s="19"/>
      <c r="D22" s="19"/>
      <c r="E22" s="19"/>
      <c r="F22" s="19"/>
      <c r="G22" s="19"/>
      <c r="H22" s="19"/>
      <c r="I22" s="19">
        <v>32</v>
      </c>
      <c r="J22" s="19"/>
      <c r="K22" s="19"/>
      <c r="L22" s="19"/>
      <c r="M22" s="19">
        <v>82</v>
      </c>
      <c r="N22" s="19"/>
      <c r="O22" s="19"/>
      <c r="P22" s="19">
        <v>44</v>
      </c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x14ac:dyDescent="0.25">
      <c r="A23" s="18">
        <v>34041</v>
      </c>
      <c r="B23" s="96" t="str">
        <f>VLOOKUP(A23,ADM!$A$1:$R$343,14,0)</f>
        <v>CC du Clermontais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>
        <v>6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5">
      <c r="A24" s="18">
        <v>34043</v>
      </c>
      <c r="B24" s="96" t="str">
        <f>VLOOKUP(A24,ADM!$A$1:$R$343,14,0)</f>
        <v>CC du Grand Pic Saint-Loup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>
        <v>5</v>
      </c>
      <c r="Z24" s="19"/>
    </row>
    <row r="25" spans="1:26" x14ac:dyDescent="0.25">
      <c r="A25" s="18">
        <v>34045</v>
      </c>
      <c r="B25" s="96" t="str">
        <f>VLOOKUP(A25,ADM!$A$1:$R$343,14,0)</f>
        <v>CC du Clermontais</v>
      </c>
      <c r="C25" s="19"/>
      <c r="D25" s="19"/>
      <c r="E25" s="19"/>
      <c r="F25" s="19"/>
      <c r="G25" s="19"/>
      <c r="H25" s="19"/>
      <c r="I25" s="19">
        <v>9</v>
      </c>
      <c r="J25" s="19"/>
      <c r="K25" s="19"/>
      <c r="L25" s="19"/>
      <c r="M25" s="19">
        <v>4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x14ac:dyDescent="0.25">
      <c r="A26" s="18">
        <v>34050</v>
      </c>
      <c r="B26" s="96" t="str">
        <f>VLOOKUP(A26,ADM!$A$1:$R$343,14,0)</f>
        <v>CA du Pays de l'Or</v>
      </c>
      <c r="C26" s="19"/>
      <c r="D26" s="19"/>
      <c r="E26" s="19"/>
      <c r="F26" s="19"/>
      <c r="G26" s="19"/>
      <c r="H26" s="19"/>
      <c r="I26" s="19">
        <v>23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>
        <v>12</v>
      </c>
      <c r="U26" s="19"/>
      <c r="V26" s="19"/>
      <c r="W26" s="19"/>
      <c r="X26" s="19"/>
      <c r="Y26" s="19">
        <v>13</v>
      </c>
      <c r="Z26" s="19"/>
    </row>
    <row r="27" spans="1:26" x14ac:dyDescent="0.25">
      <c r="A27" s="18">
        <v>34051</v>
      </c>
      <c r="B27" s="96" t="str">
        <f>VLOOKUP(A27,ADM!$A$1:$R$343,14,0)</f>
        <v>CC du Clermontais</v>
      </c>
      <c r="C27" s="19"/>
      <c r="D27" s="19"/>
      <c r="E27" s="19"/>
      <c r="F27" s="19"/>
      <c r="G27" s="19"/>
      <c r="H27" s="19"/>
      <c r="I27" s="19">
        <v>25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x14ac:dyDescent="0.25">
      <c r="A28" s="18">
        <v>34052</v>
      </c>
      <c r="B28" s="96" t="str">
        <f>VLOOKUP(A28,ADM!$A$1:$R$343,14,0)</f>
        <v>CC Sud-Hérault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>
        <v>26</v>
      </c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x14ac:dyDescent="0.25">
      <c r="A29" s="18">
        <v>34055</v>
      </c>
      <c r="B29" s="96" t="str">
        <f>VLOOKUP(A29,ADM!$A$1:$R$343,14,0)</f>
        <v>CC des Monts de Lacaune et de la Montagne du Haut Languedoc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>
        <v>6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x14ac:dyDescent="0.25">
      <c r="A30" s="18">
        <v>34056</v>
      </c>
      <c r="B30" s="96" t="str">
        <f>VLOOKUP(A30,ADM!$A$1:$R$343,14,0)</f>
        <v>CA Hérault-Méditerranée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>
        <v>16</v>
      </c>
      <c r="V30" s="19"/>
      <c r="W30" s="19"/>
      <c r="X30" s="19"/>
      <c r="Y30" s="19"/>
      <c r="Z30" s="19"/>
    </row>
    <row r="31" spans="1:26" x14ac:dyDescent="0.25">
      <c r="A31" s="18">
        <v>34057</v>
      </c>
      <c r="B31" s="96" t="str">
        <f>VLOOKUP(A31,ADM!$A$1:$R$343,14,0)</f>
        <v>Montpellier Méditerranée Métropole</v>
      </c>
      <c r="C31" s="19">
        <v>62</v>
      </c>
      <c r="D31" s="19"/>
      <c r="E31" s="19"/>
      <c r="F31" s="19">
        <v>403</v>
      </c>
      <c r="G31" s="19"/>
      <c r="H31" s="19">
        <v>336</v>
      </c>
      <c r="I31" s="19">
        <v>124</v>
      </c>
      <c r="J31" s="19">
        <v>17</v>
      </c>
      <c r="K31" s="19"/>
      <c r="L31" s="19"/>
      <c r="M31" s="19">
        <v>119</v>
      </c>
      <c r="N31" s="19"/>
      <c r="O31" s="19">
        <v>25</v>
      </c>
      <c r="P31" s="19">
        <v>237</v>
      </c>
      <c r="Q31" s="19"/>
      <c r="R31" s="19"/>
      <c r="S31" s="19"/>
      <c r="T31" s="19"/>
      <c r="U31" s="19">
        <v>298</v>
      </c>
      <c r="V31" s="19"/>
      <c r="W31" s="19">
        <v>133</v>
      </c>
      <c r="X31" s="19"/>
      <c r="Y31" s="19">
        <v>40</v>
      </c>
      <c r="Z31" s="19"/>
    </row>
    <row r="32" spans="1:26" x14ac:dyDescent="0.25">
      <c r="A32" s="18">
        <v>34058</v>
      </c>
      <c r="B32" s="96" t="str">
        <f>VLOOKUP(A32,ADM!$A$1:$R$343,14,0)</f>
        <v>Montpellier Méditerranée Métropole</v>
      </c>
      <c r="C32" s="19">
        <v>83</v>
      </c>
      <c r="D32" s="19"/>
      <c r="E32" s="19"/>
      <c r="F32" s="19">
        <v>23</v>
      </c>
      <c r="G32" s="19"/>
      <c r="H32" s="19"/>
      <c r="I32" s="19">
        <v>33</v>
      </c>
      <c r="J32" s="19"/>
      <c r="K32" s="19"/>
      <c r="L32" s="19"/>
      <c r="M32" s="19">
        <v>110</v>
      </c>
      <c r="N32" s="19"/>
      <c r="O32" s="19"/>
      <c r="P32" s="19"/>
      <c r="Q32" s="19"/>
      <c r="R32" s="19"/>
      <c r="S32" s="19"/>
      <c r="T32" s="19"/>
      <c r="U32" s="19">
        <v>17</v>
      </c>
      <c r="V32" s="19"/>
      <c r="W32" s="19">
        <v>28</v>
      </c>
      <c r="X32" s="19"/>
      <c r="Y32" s="19">
        <v>8</v>
      </c>
      <c r="Z32" s="19"/>
    </row>
    <row r="33" spans="1:26" x14ac:dyDescent="0.25">
      <c r="A33" s="18">
        <v>34059</v>
      </c>
      <c r="B33" s="96" t="str">
        <f>VLOOKUP(A33,ADM!$A$1:$R$343,14,0)</f>
        <v>CC Du Minervois au Caroux en Haut-Languedoc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>
        <v>2</v>
      </c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x14ac:dyDescent="0.25">
      <c r="A34" s="18">
        <v>34063</v>
      </c>
      <c r="B34" s="96" t="str">
        <f>VLOOKUP(A34,ADM!$A$1:$R$343,14,0)</f>
        <v>CA Hérault-Méditerranée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>
        <v>5</v>
      </c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x14ac:dyDescent="0.25">
      <c r="A35" s="18">
        <v>34064</v>
      </c>
      <c r="B35" s="96" t="str">
        <f>VLOOKUP(A35,ADM!$A$1:$R$343,14,0)</f>
        <v>CC Lodévois et Larzac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>
        <v>39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x14ac:dyDescent="0.25">
      <c r="A36" s="18">
        <v>34065</v>
      </c>
      <c r="B36" s="96" t="str">
        <f>VLOOKUP(A36,ADM!$A$1:$R$343,14,0)</f>
        <v>CC Sud-Hérault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>
        <v>8</v>
      </c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x14ac:dyDescent="0.25">
      <c r="A37" s="18">
        <v>34069</v>
      </c>
      <c r="B37" s="96" t="str">
        <f>VLOOKUP(A37,ADM!$A$1:$R$343,14,0)</f>
        <v>CC la Domitienne</v>
      </c>
      <c r="C37" s="19"/>
      <c r="D37" s="19"/>
      <c r="E37" s="19"/>
      <c r="F37" s="19"/>
      <c r="G37" s="19"/>
      <c r="H37" s="19"/>
      <c r="I37" s="19">
        <v>8</v>
      </c>
      <c r="J37" s="19"/>
      <c r="K37" s="19"/>
      <c r="L37" s="19"/>
      <c r="M37" s="19">
        <v>39</v>
      </c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x14ac:dyDescent="0.25">
      <c r="A38" s="18">
        <v>34070</v>
      </c>
      <c r="B38" s="96" t="str">
        <f>VLOOKUP(A38,ADM!$A$1:$R$343,14,0)</f>
        <v>CC Sud-Hérault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>
        <v>5</v>
      </c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x14ac:dyDescent="0.25">
      <c r="A39" s="18">
        <v>34071</v>
      </c>
      <c r="B39" s="96" t="str">
        <f>VLOOKUP(A39,ADM!$A$1:$R$343,14,0)</f>
        <v>CC Grand Orb en Languedoc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>
        <v>3</v>
      </c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x14ac:dyDescent="0.25">
      <c r="A40" s="18">
        <v>34073</v>
      </c>
      <c r="B40" s="96" t="str">
        <f>VLOOKUP(A40,ADM!$A$1:$R$343,14,0)</f>
        <v>CA de Béziers-Méditerranée</v>
      </c>
      <c r="C40" s="19"/>
      <c r="D40" s="19"/>
      <c r="E40" s="19"/>
      <c r="F40" s="19"/>
      <c r="G40" s="19"/>
      <c r="H40" s="19"/>
      <c r="I40" s="19">
        <v>52</v>
      </c>
      <c r="J40" s="19"/>
      <c r="K40" s="19"/>
      <c r="L40" s="19"/>
      <c r="M40" s="19"/>
      <c r="N40" s="19"/>
      <c r="O40" s="19"/>
      <c r="P40" s="19"/>
      <c r="Q40" s="19"/>
      <c r="R40" s="19">
        <v>27</v>
      </c>
      <c r="S40" s="19"/>
      <c r="T40" s="19"/>
      <c r="U40" s="19"/>
      <c r="V40" s="19"/>
      <c r="W40" s="19"/>
      <c r="X40" s="19"/>
      <c r="Y40" s="19"/>
      <c r="Z40" s="19"/>
    </row>
    <row r="41" spans="1:26" x14ac:dyDescent="0.25">
      <c r="A41" s="18">
        <v>34074</v>
      </c>
      <c r="B41" s="96" t="str">
        <f>VLOOKUP(A41,ADM!$A$1:$R$343,14,0)</f>
        <v>CC Sud-Hérault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>
        <v>42</v>
      </c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x14ac:dyDescent="0.25">
      <c r="A42" s="18">
        <v>34076</v>
      </c>
      <c r="B42" s="96" t="str">
        <f>VLOOKUP(A42,ADM!$A$1:$R$343,14,0)</f>
        <v>CC du Clermontais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>
        <v>16</v>
      </c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x14ac:dyDescent="0.25">
      <c r="A43" s="18">
        <v>34077</v>
      </c>
      <c r="B43" s="96" t="str">
        <f>VLOOKUP(A43,ADM!$A$1:$R$343,14,0)</f>
        <v>Montpellier Méditerranée Métropole</v>
      </c>
      <c r="C43" s="19">
        <v>95</v>
      </c>
      <c r="D43" s="19"/>
      <c r="E43" s="19"/>
      <c r="F43" s="19">
        <v>40</v>
      </c>
      <c r="G43" s="19"/>
      <c r="H43" s="19"/>
      <c r="I43" s="19">
        <v>81</v>
      </c>
      <c r="J43" s="19"/>
      <c r="K43" s="19"/>
      <c r="L43" s="19"/>
      <c r="M43" s="19">
        <v>75</v>
      </c>
      <c r="N43" s="19"/>
      <c r="O43" s="19"/>
      <c r="P43" s="19"/>
      <c r="Q43" s="19"/>
      <c r="R43" s="19"/>
      <c r="S43" s="19"/>
      <c r="T43" s="19"/>
      <c r="U43" s="19"/>
      <c r="V43" s="19"/>
      <c r="W43" s="19">
        <v>59</v>
      </c>
      <c r="X43" s="19"/>
      <c r="Y43" s="19"/>
      <c r="Z43" s="19"/>
    </row>
    <row r="44" spans="1:26" x14ac:dyDescent="0.25">
      <c r="A44" s="18">
        <v>34078</v>
      </c>
      <c r="B44" s="96" t="str">
        <f>VLOOKUP(A44,ADM!$A$1:$R$343,14,0)</f>
        <v>CC du Grand Pic Saint-Loup</v>
      </c>
      <c r="C44" s="19"/>
      <c r="D44" s="19"/>
      <c r="E44" s="19"/>
      <c r="F44" s="19"/>
      <c r="G44" s="19"/>
      <c r="H44" s="19"/>
      <c r="I44" s="19">
        <v>6</v>
      </c>
      <c r="J44" s="19"/>
      <c r="K44" s="19"/>
      <c r="L44" s="19"/>
      <c r="M44" s="19">
        <v>11</v>
      </c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x14ac:dyDescent="0.25">
      <c r="A45" s="18">
        <v>34079</v>
      </c>
      <c r="B45" s="96" t="str">
        <f>VLOOKUP(A45,ADM!$A$1:$R$343,14,0)</f>
        <v>CC du Clermontais</v>
      </c>
      <c r="C45" s="19"/>
      <c r="D45" s="19"/>
      <c r="E45" s="19"/>
      <c r="F45" s="19"/>
      <c r="G45" s="19"/>
      <c r="H45" s="19">
        <v>90</v>
      </c>
      <c r="I45" s="19">
        <v>100</v>
      </c>
      <c r="J45" s="19"/>
      <c r="K45" s="19"/>
      <c r="L45" s="19"/>
      <c r="M45" s="19">
        <v>500</v>
      </c>
      <c r="N45" s="19"/>
      <c r="O45" s="19"/>
      <c r="P45" s="19"/>
      <c r="Q45" s="19"/>
      <c r="R45" s="19"/>
      <c r="S45" s="19"/>
      <c r="T45" s="19"/>
      <c r="U45" s="19">
        <v>67</v>
      </c>
      <c r="V45" s="19"/>
      <c r="W45" s="19">
        <v>13</v>
      </c>
      <c r="X45" s="19"/>
      <c r="Y45" s="19"/>
      <c r="Z45" s="19"/>
    </row>
    <row r="46" spans="1:26" x14ac:dyDescent="0.25">
      <c r="A46" s="18">
        <v>34081</v>
      </c>
      <c r="B46" s="96" t="str">
        <f>VLOOKUP(A46,ADM!$A$1:$R$343,14,0)</f>
        <v>CC la Domitienne</v>
      </c>
      <c r="C46" s="19"/>
      <c r="D46" s="19"/>
      <c r="E46" s="19"/>
      <c r="F46" s="19"/>
      <c r="G46" s="19"/>
      <c r="H46" s="19"/>
      <c r="I46" s="19">
        <v>46</v>
      </c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>
        <v>56</v>
      </c>
      <c r="Z46" s="19"/>
    </row>
    <row r="47" spans="1:26" x14ac:dyDescent="0.25">
      <c r="A47" s="18">
        <v>34082</v>
      </c>
      <c r="B47" s="96" t="str">
        <f>VLOOKUP(A47,ADM!$A$1:$R$343,14,0)</f>
        <v>CC du Grand Pic Saint-Loup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>
        <v>15</v>
      </c>
      <c r="V47" s="19"/>
      <c r="W47" s="19"/>
      <c r="X47" s="19"/>
      <c r="Y47" s="19"/>
      <c r="Z47" s="19"/>
    </row>
    <row r="48" spans="1:26" x14ac:dyDescent="0.25">
      <c r="A48" s="18">
        <v>34084</v>
      </c>
      <c r="B48" s="96" t="str">
        <f>VLOOKUP(A48,ADM!$A$1:$R$343,14,0)</f>
        <v>CA de Béziers-Méditerranée</v>
      </c>
      <c r="C48" s="19"/>
      <c r="D48" s="19"/>
      <c r="E48" s="19"/>
      <c r="F48" s="19"/>
      <c r="G48" s="19"/>
      <c r="H48" s="19"/>
      <c r="I48" s="19">
        <v>22</v>
      </c>
      <c r="J48" s="19"/>
      <c r="K48" s="19"/>
      <c r="L48" s="19"/>
      <c r="M48" s="19"/>
      <c r="N48" s="19"/>
      <c r="O48" s="19"/>
      <c r="P48" s="19"/>
      <c r="Q48" s="19"/>
      <c r="R48" s="19">
        <v>5</v>
      </c>
      <c r="S48" s="19"/>
      <c r="T48" s="19"/>
      <c r="U48" s="19"/>
      <c r="V48" s="19"/>
      <c r="W48" s="19"/>
      <c r="X48" s="19"/>
      <c r="Y48" s="19"/>
      <c r="Z48" s="19"/>
    </row>
    <row r="49" spans="1:26" x14ac:dyDescent="0.25">
      <c r="A49" s="18">
        <v>34086</v>
      </c>
      <c r="B49" s="96" t="str">
        <f>VLOOKUP(A49,ADM!$A$1:$R$343,14,0)</f>
        <v>CC Du Minervois au Caroux en Haut-Languedoc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>
        <v>9</v>
      </c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x14ac:dyDescent="0.25">
      <c r="A50" s="18">
        <v>34087</v>
      </c>
      <c r="B50" s="96" t="str">
        <f>VLOOKUP(A50,ADM!$A$1:$R$343,14,0)</f>
        <v>Montpellier Méditerranée Métropole</v>
      </c>
      <c r="C50" s="19">
        <v>67</v>
      </c>
      <c r="D50" s="19"/>
      <c r="E50" s="19"/>
      <c r="F50" s="19"/>
      <c r="G50" s="19"/>
      <c r="H50" s="19"/>
      <c r="I50" s="19">
        <v>14</v>
      </c>
      <c r="J50" s="19"/>
      <c r="K50" s="19"/>
      <c r="L50" s="19"/>
      <c r="M50" s="19">
        <v>19</v>
      </c>
      <c r="N50" s="19"/>
      <c r="O50" s="19"/>
      <c r="P50" s="19"/>
      <c r="Q50" s="19"/>
      <c r="R50" s="19"/>
      <c r="S50" s="19"/>
      <c r="T50" s="19"/>
      <c r="U50" s="19">
        <v>11</v>
      </c>
      <c r="V50" s="19"/>
      <c r="W50" s="19">
        <v>36</v>
      </c>
      <c r="X50" s="19"/>
      <c r="Y50" s="19"/>
      <c r="Z50" s="19"/>
    </row>
    <row r="51" spans="1:26" x14ac:dyDescent="0.25">
      <c r="A51" s="18">
        <v>34088</v>
      </c>
      <c r="B51" s="96" t="str">
        <f>VLOOKUP(A51,ADM!$A$1:$R$343,14,0)</f>
        <v>Montpellier Méditerranée Métropole</v>
      </c>
      <c r="C51" s="19">
        <v>44</v>
      </c>
      <c r="D51" s="19"/>
      <c r="E51" s="19"/>
      <c r="F51" s="19">
        <v>20</v>
      </c>
      <c r="G51" s="19"/>
      <c r="H51" s="19"/>
      <c r="I51" s="19">
        <v>80</v>
      </c>
      <c r="J51" s="19"/>
      <c r="K51" s="19"/>
      <c r="L51" s="19"/>
      <c r="M51" s="19">
        <v>50</v>
      </c>
      <c r="N51" s="19"/>
      <c r="O51" s="19"/>
      <c r="P51" s="19"/>
      <c r="Q51" s="19"/>
      <c r="R51" s="19"/>
      <c r="S51" s="19"/>
      <c r="T51" s="19"/>
      <c r="U51" s="19"/>
      <c r="V51" s="19"/>
      <c r="W51" s="19">
        <v>50</v>
      </c>
      <c r="X51" s="19"/>
      <c r="Y51" s="19"/>
      <c r="Z51" s="19"/>
    </row>
    <row r="52" spans="1:26" x14ac:dyDescent="0.25">
      <c r="A52" s="18">
        <v>34089</v>
      </c>
      <c r="B52" s="96" t="str">
        <f>VLOOKUP(A52,ADM!$A$1:$R$343,14,0)</f>
        <v>CC Sud-Hérault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>
        <v>24</v>
      </c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x14ac:dyDescent="0.25">
      <c r="A53" s="18">
        <v>34090</v>
      </c>
      <c r="B53" s="96" t="str">
        <f>VLOOKUP(A53,ADM!$A$1:$R$343,14,0)</f>
        <v>Montpellier Méditerranée Métropole</v>
      </c>
      <c r="C53" s="19">
        <v>131</v>
      </c>
      <c r="D53" s="19"/>
      <c r="E53" s="19"/>
      <c r="F53" s="19">
        <v>114</v>
      </c>
      <c r="G53" s="19"/>
      <c r="H53" s="19">
        <v>41</v>
      </c>
      <c r="I53" s="19">
        <v>19</v>
      </c>
      <c r="J53" s="19"/>
      <c r="K53" s="19"/>
      <c r="L53" s="19"/>
      <c r="M53" s="19">
        <v>63</v>
      </c>
      <c r="N53" s="19"/>
      <c r="O53" s="19"/>
      <c r="P53" s="19">
        <v>6</v>
      </c>
      <c r="Q53" s="19"/>
      <c r="R53" s="19"/>
      <c r="S53" s="19"/>
      <c r="T53" s="19"/>
      <c r="U53" s="19">
        <v>66</v>
      </c>
      <c r="V53" s="19"/>
      <c r="W53" s="19">
        <v>41</v>
      </c>
      <c r="X53" s="19"/>
      <c r="Y53" s="19"/>
      <c r="Z53" s="19"/>
    </row>
    <row r="54" spans="1:26" x14ac:dyDescent="0.25">
      <c r="A54" s="18">
        <v>34094</v>
      </c>
      <c r="B54" s="96" t="str">
        <f>VLOOKUP(A54,ADM!$A$1:$R$343,14,0)</f>
        <v>CA de Béziers-Méditerranée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>
        <v>2</v>
      </c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x14ac:dyDescent="0.25">
      <c r="A55" s="18">
        <v>34095</v>
      </c>
      <c r="B55" s="96" t="str">
        <f>VLOOKUP(A55,ADM!$A$1:$R$343,14,0)</f>
        <v>Montpellier Méditerranée Métropole</v>
      </c>
      <c r="C55" s="19">
        <v>5</v>
      </c>
      <c r="D55" s="19"/>
      <c r="E55" s="19"/>
      <c r="F55" s="19">
        <v>24</v>
      </c>
      <c r="G55" s="19"/>
      <c r="H55" s="19"/>
      <c r="I55" s="19"/>
      <c r="J55" s="19"/>
      <c r="K55" s="19"/>
      <c r="L55" s="19"/>
      <c r="M55" s="19">
        <v>75</v>
      </c>
      <c r="N55" s="19"/>
      <c r="O55" s="19"/>
      <c r="P55" s="19"/>
      <c r="Q55" s="19"/>
      <c r="R55" s="19"/>
      <c r="S55" s="19"/>
      <c r="T55" s="19"/>
      <c r="U55" s="19"/>
      <c r="V55" s="19"/>
      <c r="W55" s="19">
        <v>26</v>
      </c>
      <c r="X55" s="19"/>
      <c r="Y55" s="19">
        <v>31</v>
      </c>
      <c r="Z55" s="19"/>
    </row>
    <row r="56" spans="1:26" x14ac:dyDescent="0.25">
      <c r="A56" s="18">
        <v>34096</v>
      </c>
      <c r="B56" s="96" t="str">
        <f>VLOOKUP(A56,ADM!$A$1:$R$343,14,0)</f>
        <v>CC les Avant-Monts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>
        <v>5</v>
      </c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x14ac:dyDescent="0.25">
      <c r="A57" s="18">
        <v>34097</v>
      </c>
      <c r="B57" s="96" t="str">
        <f>VLOOKUP(A57,ADM!$A$1:$R$343,14,0)</f>
        <v>CC Du Minervois au Caroux en Haut-Languedoc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>
        <v>6</v>
      </c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x14ac:dyDescent="0.25">
      <c r="A58" s="18">
        <v>34101</v>
      </c>
      <c r="B58" s="96" t="str">
        <f>VLOOKUP(A58,ADM!$A$1:$R$343,14,0)</f>
        <v>CA Hérault-Méditerranée</v>
      </c>
      <c r="C58" s="19"/>
      <c r="D58" s="19"/>
      <c r="E58" s="19"/>
      <c r="F58" s="19"/>
      <c r="G58" s="19"/>
      <c r="H58" s="19"/>
      <c r="I58" s="19">
        <v>21</v>
      </c>
      <c r="J58" s="19"/>
      <c r="K58" s="19"/>
      <c r="L58" s="19"/>
      <c r="M58" s="19">
        <v>111</v>
      </c>
      <c r="N58" s="19"/>
      <c r="O58" s="19"/>
      <c r="P58" s="19"/>
      <c r="Q58" s="19"/>
      <c r="R58" s="19"/>
      <c r="S58" s="19"/>
      <c r="T58" s="19"/>
      <c r="U58" s="19"/>
      <c r="V58" s="19"/>
      <c r="W58" s="19">
        <v>31</v>
      </c>
      <c r="X58" s="19"/>
      <c r="Y58" s="19"/>
      <c r="Z58" s="19"/>
    </row>
    <row r="59" spans="1:26" x14ac:dyDescent="0.25">
      <c r="A59" s="18">
        <v>34103</v>
      </c>
      <c r="B59" s="96" t="str">
        <f>VLOOKUP(A59,ADM!$A$1:$R$343,14,0)</f>
        <v>CC du Clermontais</v>
      </c>
      <c r="C59" s="19"/>
      <c r="D59" s="19"/>
      <c r="E59" s="19"/>
      <c r="F59" s="19"/>
      <c r="G59" s="19"/>
      <c r="H59" s="19"/>
      <c r="I59" s="19">
        <v>6</v>
      </c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x14ac:dyDescent="0.25">
      <c r="A60" s="18">
        <v>34107</v>
      </c>
      <c r="B60" s="96" t="str">
        <f>VLOOKUP(A60,ADM!$A$1:$R$343,14,0)</f>
        <v>CC des Monts de Lacaune et de la Montagne du Haut Languedoc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>
        <v>4</v>
      </c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x14ac:dyDescent="0.25">
      <c r="A61" s="18">
        <v>34108</v>
      </c>
      <c r="B61" s="96" t="str">
        <f>VLOOKUP(A61,ADM!$A$1:$R$343,14,0)</f>
        <v>Sète Agglopôle Méditerranée</v>
      </c>
      <c r="C61" s="19"/>
      <c r="D61" s="19"/>
      <c r="E61" s="19"/>
      <c r="F61" s="19"/>
      <c r="G61" s="19"/>
      <c r="H61" s="19">
        <v>192</v>
      </c>
      <c r="I61" s="19">
        <v>51</v>
      </c>
      <c r="J61" s="19"/>
      <c r="K61" s="19"/>
      <c r="L61" s="19"/>
      <c r="M61" s="19">
        <v>1399</v>
      </c>
      <c r="N61" s="19"/>
      <c r="O61" s="19"/>
      <c r="P61" s="19"/>
      <c r="Q61" s="19"/>
      <c r="R61" s="19"/>
      <c r="S61" s="19"/>
      <c r="T61" s="19"/>
      <c r="U61" s="19">
        <v>108</v>
      </c>
      <c r="V61" s="19"/>
      <c r="W61" s="19">
        <v>46</v>
      </c>
      <c r="X61" s="19"/>
      <c r="Y61" s="19">
        <v>29</v>
      </c>
      <c r="Z61" s="19"/>
    </row>
    <row r="62" spans="1:26" x14ac:dyDescent="0.25">
      <c r="A62" s="18">
        <v>34109</v>
      </c>
      <c r="B62" s="96" t="str">
        <f>VLOOKUP(A62,ADM!$A$1:$R$343,14,0)</f>
        <v>CC les Avant-Monts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>
        <v>29</v>
      </c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x14ac:dyDescent="0.25">
      <c r="A63" s="18">
        <v>34111</v>
      </c>
      <c r="B63" s="96" t="str">
        <f>VLOOKUP(A63,ADM!$A$1:$R$343,14,0)</f>
        <v>CC des Cévennes Gangeoises et Suménoises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>
        <v>253</v>
      </c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x14ac:dyDescent="0.25">
      <c r="A64" s="18">
        <v>34113</v>
      </c>
      <c r="B64" s="96" t="str">
        <f>VLOOKUP(A64,ADM!$A$1:$R$343,14,0)</f>
        <v>Sète Agglopôle Méditerranée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>
        <v>111</v>
      </c>
      <c r="N64" s="19"/>
      <c r="O64" s="19"/>
      <c r="P64" s="19">
        <v>47</v>
      </c>
      <c r="Q64" s="19"/>
      <c r="R64" s="19"/>
      <c r="S64" s="19">
        <v>44</v>
      </c>
      <c r="T64" s="19"/>
      <c r="U64" s="19"/>
      <c r="V64" s="19"/>
      <c r="W64" s="19">
        <v>30</v>
      </c>
      <c r="X64" s="19"/>
      <c r="Y64" s="19">
        <v>11</v>
      </c>
      <c r="Z64" s="19"/>
    </row>
    <row r="65" spans="1:26" x14ac:dyDescent="0.25">
      <c r="A65" s="18">
        <v>34114</v>
      </c>
      <c r="B65" s="96" t="str">
        <f>VLOOKUP(A65,ADM!$A$1:$R$343,14,0)</f>
        <v>CC Vallée de l'hérault</v>
      </c>
      <c r="C65" s="19"/>
      <c r="D65" s="19"/>
      <c r="E65" s="19"/>
      <c r="F65" s="19"/>
      <c r="G65" s="19"/>
      <c r="H65" s="19"/>
      <c r="I65" s="19">
        <v>35</v>
      </c>
      <c r="J65" s="19"/>
      <c r="K65" s="19"/>
      <c r="L65" s="19"/>
      <c r="M65" s="19">
        <v>285</v>
      </c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x14ac:dyDescent="0.25">
      <c r="A66" s="18">
        <v>34116</v>
      </c>
      <c r="B66" s="96" t="str">
        <f>VLOOKUP(A66,ADM!$A$1:$R$343,14,0)</f>
        <v>Montpellier Méditerranée Métropole</v>
      </c>
      <c r="C66" s="19">
        <v>46</v>
      </c>
      <c r="D66" s="19"/>
      <c r="E66" s="19"/>
      <c r="F66" s="19">
        <v>51</v>
      </c>
      <c r="G66" s="19"/>
      <c r="H66" s="19">
        <v>107</v>
      </c>
      <c r="I66" s="19"/>
      <c r="J66" s="19"/>
      <c r="K66" s="19"/>
      <c r="L66" s="19"/>
      <c r="M66" s="19">
        <v>86</v>
      </c>
      <c r="N66" s="19"/>
      <c r="O66" s="19"/>
      <c r="P66" s="19">
        <v>28</v>
      </c>
      <c r="Q66" s="19"/>
      <c r="R66" s="19"/>
      <c r="S66" s="19"/>
      <c r="T66" s="19"/>
      <c r="U66" s="19">
        <v>46</v>
      </c>
      <c r="V66" s="19"/>
      <c r="W66" s="19">
        <v>103</v>
      </c>
      <c r="X66" s="19"/>
      <c r="Y66" s="19">
        <v>3</v>
      </c>
      <c r="Z66" s="19"/>
    </row>
    <row r="67" spans="1:26" x14ac:dyDescent="0.25">
      <c r="A67" s="18">
        <v>34117</v>
      </c>
      <c r="B67" s="96" t="str">
        <f>VLOOKUP(A67,ADM!$A$1:$R$343,14,0)</f>
        <v>CC Grand Orb en Languedoc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>
        <v>4</v>
      </c>
      <c r="N67" s="19"/>
      <c r="O67" s="19"/>
      <c r="P67" s="19">
        <v>12</v>
      </c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x14ac:dyDescent="0.25">
      <c r="A68" s="18">
        <v>34119</v>
      </c>
      <c r="B68" s="96" t="str">
        <f>VLOOKUP(A68,ADM!$A$1:$R$343,14,0)</f>
        <v>CC Grand Orb en Languedoc</v>
      </c>
      <c r="C68" s="19"/>
      <c r="D68" s="19"/>
      <c r="E68" s="19"/>
      <c r="F68" s="19"/>
      <c r="G68" s="19"/>
      <c r="H68" s="19"/>
      <c r="I68" s="19">
        <v>5</v>
      </c>
      <c r="J68" s="19"/>
      <c r="K68" s="19"/>
      <c r="L68" s="19"/>
      <c r="M68" s="19">
        <v>42</v>
      </c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x14ac:dyDescent="0.25">
      <c r="A69" s="18">
        <v>34120</v>
      </c>
      <c r="B69" s="96" t="str">
        <f>VLOOKUP(A69,ADM!$A$1:$R$343,14,0)</f>
        <v>Montpellier Méditerranée Métropole</v>
      </c>
      <c r="C69" s="19">
        <v>90</v>
      </c>
      <c r="D69" s="19"/>
      <c r="E69" s="19"/>
      <c r="F69" s="19">
        <v>104</v>
      </c>
      <c r="G69" s="19"/>
      <c r="H69" s="19"/>
      <c r="I69" s="19">
        <v>61</v>
      </c>
      <c r="J69" s="19"/>
      <c r="K69" s="19"/>
      <c r="L69" s="19"/>
      <c r="M69" s="19">
        <v>21</v>
      </c>
      <c r="N69" s="19"/>
      <c r="O69" s="19"/>
      <c r="P69" s="19">
        <v>66</v>
      </c>
      <c r="Q69" s="19"/>
      <c r="R69" s="19"/>
      <c r="S69" s="19"/>
      <c r="T69" s="19"/>
      <c r="U69" s="19">
        <v>38</v>
      </c>
      <c r="V69" s="19"/>
      <c r="W69" s="19">
        <v>54</v>
      </c>
      <c r="X69" s="19"/>
      <c r="Y69" s="19"/>
      <c r="Z69" s="19"/>
    </row>
    <row r="70" spans="1:26" x14ac:dyDescent="0.25">
      <c r="A70" s="18">
        <v>34123</v>
      </c>
      <c r="B70" s="96" t="str">
        <f>VLOOKUP(A70,ADM!$A$1:$R$343,14,0)</f>
        <v>Montpellier Méditerranée Métropole</v>
      </c>
      <c r="C70" s="19">
        <v>164</v>
      </c>
      <c r="D70" s="19"/>
      <c r="E70" s="19"/>
      <c r="F70" s="19">
        <v>77</v>
      </c>
      <c r="G70" s="19"/>
      <c r="H70" s="19">
        <v>109</v>
      </c>
      <c r="I70" s="19">
        <v>190</v>
      </c>
      <c r="J70" s="19"/>
      <c r="K70" s="19"/>
      <c r="L70" s="19">
        <v>1</v>
      </c>
      <c r="M70" s="19"/>
      <c r="N70" s="19"/>
      <c r="O70" s="19"/>
      <c r="P70" s="19">
        <v>123</v>
      </c>
      <c r="Q70" s="19"/>
      <c r="R70" s="19"/>
      <c r="S70" s="19"/>
      <c r="T70" s="19"/>
      <c r="U70" s="19">
        <v>121</v>
      </c>
      <c r="V70" s="19"/>
      <c r="W70" s="19">
        <v>30</v>
      </c>
      <c r="X70" s="19"/>
      <c r="Y70" s="19"/>
      <c r="Z70" s="19"/>
    </row>
    <row r="71" spans="1:26" x14ac:dyDescent="0.25">
      <c r="A71" s="18">
        <v>34126</v>
      </c>
      <c r="B71" s="96" t="str">
        <f>VLOOKUP(A71,ADM!$A$1:$R$343,14,0)</f>
        <v>CC Grand Orb en Languedoc</v>
      </c>
      <c r="C71" s="19"/>
      <c r="D71" s="19"/>
      <c r="E71" s="19"/>
      <c r="F71" s="19"/>
      <c r="G71" s="19"/>
      <c r="H71" s="19"/>
      <c r="I71" s="19">
        <v>17</v>
      </c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x14ac:dyDescent="0.25">
      <c r="A72" s="18">
        <v>34127</v>
      </c>
      <c r="B72" s="96" t="str">
        <f>VLOOKUP(A72,ADM!$A$1:$R$343,14,0)</f>
        <v>CA du Pays de l'Or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>
        <v>21</v>
      </c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>
        <v>32</v>
      </c>
      <c r="Z72" s="19"/>
    </row>
    <row r="73" spans="1:26" x14ac:dyDescent="0.25">
      <c r="A73" s="18">
        <v>34129</v>
      </c>
      <c r="B73" s="96" t="str">
        <f>VLOOKUP(A73,ADM!$A$1:$R$343,14,0)</f>
        <v>Montpellier Méditerranée Métropole</v>
      </c>
      <c r="C73" s="19">
        <v>103</v>
      </c>
      <c r="D73" s="19"/>
      <c r="E73" s="19"/>
      <c r="F73" s="19">
        <v>224</v>
      </c>
      <c r="G73" s="19"/>
      <c r="H73" s="19"/>
      <c r="I73" s="19">
        <v>260</v>
      </c>
      <c r="J73" s="19"/>
      <c r="K73" s="19"/>
      <c r="L73" s="19"/>
      <c r="M73" s="19">
        <v>28</v>
      </c>
      <c r="N73" s="19"/>
      <c r="O73" s="19">
        <v>36</v>
      </c>
      <c r="P73" s="19">
        <v>12</v>
      </c>
      <c r="Q73" s="19"/>
      <c r="R73" s="19"/>
      <c r="S73" s="19"/>
      <c r="T73" s="19"/>
      <c r="U73" s="19">
        <v>142</v>
      </c>
      <c r="V73" s="19"/>
      <c r="W73" s="19"/>
      <c r="X73" s="19"/>
      <c r="Y73" s="19">
        <v>8</v>
      </c>
      <c r="Z73" s="19"/>
    </row>
    <row r="74" spans="1:26" x14ac:dyDescent="0.25">
      <c r="A74" s="18">
        <v>34131</v>
      </c>
      <c r="B74" s="96" t="str">
        <f>VLOOKUP(A74,ADM!$A$1:$R$343,14,0)</f>
        <v>CC du Grand Pic Saint-Loup</v>
      </c>
      <c r="C74" s="19"/>
      <c r="D74" s="19"/>
      <c r="E74" s="19"/>
      <c r="F74" s="19"/>
      <c r="G74" s="19"/>
      <c r="H74" s="19"/>
      <c r="I74" s="19">
        <v>8</v>
      </c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x14ac:dyDescent="0.25">
      <c r="A75" s="18">
        <v>34134</v>
      </c>
      <c r="B75" s="96" t="str">
        <f>VLOOKUP(A75,ADM!$A$1:$R$343,14,0)</f>
        <v>Montpellier Méditerranée Métropole</v>
      </c>
      <c r="C75" s="19">
        <v>30</v>
      </c>
      <c r="D75" s="19"/>
      <c r="E75" s="19"/>
      <c r="F75" s="19"/>
      <c r="G75" s="19"/>
      <c r="H75" s="19"/>
      <c r="I75" s="19"/>
      <c r="J75" s="19"/>
      <c r="K75" s="19"/>
      <c r="L75" s="19"/>
      <c r="M75" s="19">
        <v>58</v>
      </c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>
        <v>67</v>
      </c>
      <c r="Z75" s="19"/>
    </row>
    <row r="76" spans="1:26" x14ac:dyDescent="0.25">
      <c r="A76" s="18">
        <v>34135</v>
      </c>
      <c r="B76" s="96" t="str">
        <f>VLOOKUP(A76,ADM!$A$1:$R$343,14,0)</f>
        <v>CC la Domitienne</v>
      </c>
      <c r="C76" s="19"/>
      <c r="D76" s="19"/>
      <c r="E76" s="19"/>
      <c r="F76" s="19"/>
      <c r="G76" s="19"/>
      <c r="H76" s="19"/>
      <c r="I76" s="19">
        <v>20</v>
      </c>
      <c r="J76" s="19"/>
      <c r="K76" s="19"/>
      <c r="L76" s="19"/>
      <c r="M76" s="19">
        <v>60</v>
      </c>
      <c r="N76" s="19"/>
      <c r="O76" s="19"/>
      <c r="P76" s="19"/>
      <c r="Q76" s="19"/>
      <c r="R76" s="19">
        <v>11</v>
      </c>
      <c r="S76" s="19"/>
      <c r="T76" s="19"/>
      <c r="U76" s="19"/>
      <c r="V76" s="19"/>
      <c r="W76" s="19"/>
      <c r="X76" s="19"/>
      <c r="Y76" s="19"/>
      <c r="Z76" s="19"/>
    </row>
    <row r="77" spans="1:26" x14ac:dyDescent="0.25">
      <c r="A77" s="18">
        <v>34136</v>
      </c>
      <c r="B77" s="96" t="str">
        <f>VLOOKUP(A77,ADM!$A$1:$R$343,14,0)</f>
        <v>CA Hérault-Méditerranée</v>
      </c>
      <c r="C77" s="19"/>
      <c r="D77" s="19"/>
      <c r="E77" s="19"/>
      <c r="F77" s="19"/>
      <c r="G77" s="19"/>
      <c r="H77" s="19"/>
      <c r="I77" s="19">
        <v>17</v>
      </c>
      <c r="J77" s="19"/>
      <c r="K77" s="19"/>
      <c r="L77" s="19"/>
      <c r="M77" s="19">
        <v>13</v>
      </c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x14ac:dyDescent="0.25">
      <c r="A78" s="18">
        <v>34139</v>
      </c>
      <c r="B78" s="96" t="str">
        <f>VLOOKUP(A78,ADM!$A$1:$R$343,14,0)</f>
        <v>CA de Béziers-Méditerranée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>
        <v>7</v>
      </c>
      <c r="S78" s="19"/>
      <c r="T78" s="19"/>
      <c r="U78" s="19"/>
      <c r="V78" s="19"/>
      <c r="W78" s="19"/>
      <c r="X78" s="19"/>
      <c r="Y78" s="19"/>
      <c r="Z78" s="19"/>
    </row>
    <row r="79" spans="1:26" x14ac:dyDescent="0.25">
      <c r="A79" s="18">
        <v>34140</v>
      </c>
      <c r="B79" s="96" t="str">
        <f>VLOOKUP(A79,ADM!$A$1:$R$343,14,0)</f>
        <v>CA de Béziers-Méditerranée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>
        <v>26</v>
      </c>
      <c r="S79" s="19"/>
      <c r="T79" s="19"/>
      <c r="U79" s="19"/>
      <c r="V79" s="19"/>
      <c r="W79" s="19"/>
      <c r="X79" s="19"/>
      <c r="Y79" s="19"/>
      <c r="Z79" s="19"/>
    </row>
    <row r="80" spans="1:26" x14ac:dyDescent="0.25">
      <c r="A80" s="18">
        <v>34141</v>
      </c>
      <c r="B80" s="96" t="str">
        <f>VLOOKUP(A80,ADM!$A$1:$R$343,14,0)</f>
        <v>CC Du Minervois au Caroux en Haut-Languedoc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>
        <v>17</v>
      </c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x14ac:dyDescent="0.25">
      <c r="A81" s="18">
        <v>34142</v>
      </c>
      <c r="B81" s="96" t="str">
        <f>VLOOKUP(A81,ADM!$A$1:$R$343,14,0)</f>
        <v>CC Lodévois et Larzac</v>
      </c>
      <c r="C81" s="19"/>
      <c r="D81" s="19"/>
      <c r="E81" s="19"/>
      <c r="F81" s="19"/>
      <c r="G81" s="19"/>
      <c r="H81" s="19">
        <v>228</v>
      </c>
      <c r="I81" s="19">
        <v>4</v>
      </c>
      <c r="J81" s="19"/>
      <c r="K81" s="19"/>
      <c r="L81" s="19"/>
      <c r="M81" s="19">
        <v>243</v>
      </c>
      <c r="N81" s="19"/>
      <c r="O81" s="19"/>
      <c r="P81" s="19">
        <v>26</v>
      </c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x14ac:dyDescent="0.25">
      <c r="A82" s="18">
        <v>34143</v>
      </c>
      <c r="B82" s="96" t="str">
        <f>VLOOKUP(A82,ADM!$A$1:$R$343,14,0)</f>
        <v>Sète Agglopôle Méditerranée</v>
      </c>
      <c r="C82" s="19"/>
      <c r="D82" s="19"/>
      <c r="E82" s="19"/>
      <c r="F82" s="19"/>
      <c r="G82" s="19"/>
      <c r="H82" s="19"/>
      <c r="I82" s="19">
        <v>21</v>
      </c>
      <c r="J82" s="19"/>
      <c r="K82" s="19"/>
      <c r="L82" s="19"/>
      <c r="M82" s="19">
        <v>21</v>
      </c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x14ac:dyDescent="0.25">
      <c r="A83" s="18">
        <v>34144</v>
      </c>
      <c r="B83" s="96" t="str">
        <f>VLOOKUP(A83,ADM!$A$1:$R$343,14,0)</f>
        <v>CC Grand Orb en Languedoc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>
        <v>5</v>
      </c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x14ac:dyDescent="0.25">
      <c r="A84" s="18">
        <v>34145</v>
      </c>
      <c r="B84" s="96" t="str">
        <f>VLOOKUP(A84,ADM!$A$1:$R$343,14,0)</f>
        <v>CC du Pays de Lunel</v>
      </c>
      <c r="C84" s="19">
        <v>555</v>
      </c>
      <c r="D84" s="19"/>
      <c r="E84" s="19"/>
      <c r="F84" s="19">
        <v>17</v>
      </c>
      <c r="G84" s="19"/>
      <c r="H84" s="19">
        <v>157</v>
      </c>
      <c r="I84" s="19">
        <v>239</v>
      </c>
      <c r="J84" s="19"/>
      <c r="K84" s="19"/>
      <c r="L84" s="19"/>
      <c r="M84" s="19">
        <v>362</v>
      </c>
      <c r="N84" s="19"/>
      <c r="O84" s="19">
        <v>43</v>
      </c>
      <c r="P84" s="19">
        <v>54</v>
      </c>
      <c r="Q84" s="19"/>
      <c r="R84" s="19"/>
      <c r="S84" s="19"/>
      <c r="T84" s="19"/>
      <c r="U84" s="19">
        <v>67</v>
      </c>
      <c r="V84" s="19"/>
      <c r="W84" s="19"/>
      <c r="X84" s="19"/>
      <c r="Y84" s="19">
        <v>120</v>
      </c>
      <c r="Z84" s="19">
        <v>85</v>
      </c>
    </row>
    <row r="85" spans="1:26" x14ac:dyDescent="0.25">
      <c r="A85" s="18">
        <v>34146</v>
      </c>
      <c r="B85" s="96" t="str">
        <f>VLOOKUP(A85,ADM!$A$1:$R$343,14,0)</f>
        <v>CC du Pays de Lunel</v>
      </c>
      <c r="C85" s="19">
        <v>139</v>
      </c>
      <c r="D85" s="19"/>
      <c r="E85" s="19"/>
      <c r="F85" s="19"/>
      <c r="G85" s="19"/>
      <c r="H85" s="19"/>
      <c r="I85" s="19"/>
      <c r="J85" s="19"/>
      <c r="K85" s="19"/>
      <c r="L85" s="19"/>
      <c r="M85" s="19">
        <v>76</v>
      </c>
      <c r="N85" s="19"/>
      <c r="O85" s="19"/>
      <c r="P85" s="19">
        <v>18</v>
      </c>
      <c r="Q85" s="19"/>
      <c r="R85" s="19"/>
      <c r="S85" s="19"/>
      <c r="T85" s="19"/>
      <c r="U85" s="19">
        <v>43</v>
      </c>
      <c r="V85" s="19"/>
      <c r="W85" s="19"/>
      <c r="X85" s="19"/>
      <c r="Y85" s="19"/>
      <c r="Z85" s="19"/>
    </row>
    <row r="86" spans="1:26" x14ac:dyDescent="0.25">
      <c r="A86" s="18">
        <v>34147</v>
      </c>
      <c r="B86" s="96" t="str">
        <f>VLOOKUP(A86,ADM!$A$1:$R$343,14,0)</f>
        <v>CC les Avant-Monts</v>
      </c>
      <c r="C86" s="19"/>
      <c r="D86" s="19"/>
      <c r="E86" s="19"/>
      <c r="F86" s="19"/>
      <c r="G86" s="19"/>
      <c r="H86" s="19"/>
      <c r="I86" s="19">
        <v>21</v>
      </c>
      <c r="J86" s="19"/>
      <c r="K86" s="19"/>
      <c r="L86" s="19"/>
      <c r="M86" s="19">
        <v>25</v>
      </c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x14ac:dyDescent="0.25">
      <c r="A87" s="18">
        <v>34148</v>
      </c>
      <c r="B87" s="96" t="str">
        <f>VLOOKUP(A87,ADM!$A$1:$R$343,14,0)</f>
        <v>CC la Domitienne</v>
      </c>
      <c r="C87" s="19"/>
      <c r="D87" s="19"/>
      <c r="E87" s="19"/>
      <c r="F87" s="19"/>
      <c r="G87" s="19"/>
      <c r="H87" s="19"/>
      <c r="I87" s="19">
        <v>101</v>
      </c>
      <c r="J87" s="19"/>
      <c r="K87" s="19"/>
      <c r="L87" s="19"/>
      <c r="M87" s="19">
        <v>75</v>
      </c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x14ac:dyDescent="0.25">
      <c r="A88" s="18">
        <v>34149</v>
      </c>
      <c r="B88" s="96" t="str">
        <f>VLOOKUP(A88,ADM!$A$1:$R$343,14,0)</f>
        <v>CC les Avant-Monts</v>
      </c>
      <c r="C88" s="19"/>
      <c r="D88" s="19"/>
      <c r="E88" s="19"/>
      <c r="F88" s="19"/>
      <c r="G88" s="19"/>
      <c r="H88" s="19"/>
      <c r="I88" s="19">
        <v>12</v>
      </c>
      <c r="J88" s="19"/>
      <c r="K88" s="19"/>
      <c r="L88" s="19"/>
      <c r="M88" s="19">
        <v>6</v>
      </c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x14ac:dyDescent="0.25">
      <c r="A89" s="18">
        <v>34150</v>
      </c>
      <c r="B89" s="96" t="str">
        <f>VLOOKUP(A89,ADM!$A$1:$R$343,14,0)</f>
        <v>Sète Agglopôle Méditerranée</v>
      </c>
      <c r="C89" s="19"/>
      <c r="D89" s="19"/>
      <c r="E89" s="19"/>
      <c r="F89" s="19"/>
      <c r="G89" s="19"/>
      <c r="H89" s="19"/>
      <c r="I89" s="19">
        <v>115</v>
      </c>
      <c r="J89" s="19"/>
      <c r="K89" s="19"/>
      <c r="L89" s="19"/>
      <c r="M89" s="19">
        <v>80</v>
      </c>
      <c r="N89" s="19"/>
      <c r="O89" s="19"/>
      <c r="P89" s="19"/>
      <c r="Q89" s="19"/>
      <c r="R89" s="19"/>
      <c r="S89" s="19">
        <v>15</v>
      </c>
      <c r="T89" s="19"/>
      <c r="U89" s="19"/>
      <c r="V89" s="19"/>
      <c r="W89" s="19">
        <v>67</v>
      </c>
      <c r="X89" s="19"/>
      <c r="Y89" s="19"/>
      <c r="Z89" s="19"/>
    </row>
    <row r="90" spans="1:26" x14ac:dyDescent="0.25">
      <c r="A90" s="18">
        <v>34151</v>
      </c>
      <c r="B90" s="96" t="str">
        <f>VLOOKUP(A90,ADM!$A$1:$R$343,14,0)</f>
        <v>CC du Pays de Lunel</v>
      </c>
      <c r="C90" s="19"/>
      <c r="D90" s="19"/>
      <c r="E90" s="19"/>
      <c r="F90" s="19">
        <v>13</v>
      </c>
      <c r="G90" s="19"/>
      <c r="H90" s="19">
        <v>66</v>
      </c>
      <c r="I90" s="19">
        <v>49</v>
      </c>
      <c r="J90" s="19"/>
      <c r="K90" s="19"/>
      <c r="L90" s="19"/>
      <c r="M90" s="19">
        <v>115</v>
      </c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x14ac:dyDescent="0.25">
      <c r="A91" s="18">
        <v>34154</v>
      </c>
      <c r="B91" s="96" t="str">
        <f>VLOOKUP(A91,ADM!$A$1:$R$343,14,0)</f>
        <v>CA du Pays de l'Or</v>
      </c>
      <c r="C91" s="19"/>
      <c r="D91" s="19"/>
      <c r="E91" s="19"/>
      <c r="F91" s="19"/>
      <c r="G91" s="19"/>
      <c r="H91" s="19"/>
      <c r="I91" s="19">
        <v>32</v>
      </c>
      <c r="J91" s="19"/>
      <c r="K91" s="19"/>
      <c r="L91" s="19"/>
      <c r="M91" s="19">
        <v>97</v>
      </c>
      <c r="N91" s="19"/>
      <c r="O91" s="19"/>
      <c r="P91" s="19">
        <v>28</v>
      </c>
      <c r="Q91" s="19">
        <v>89</v>
      </c>
      <c r="R91" s="19"/>
      <c r="S91" s="19"/>
      <c r="T91" s="19"/>
      <c r="U91" s="19">
        <v>98</v>
      </c>
      <c r="V91" s="19"/>
      <c r="W91" s="19"/>
      <c r="X91" s="19"/>
      <c r="Y91" s="19">
        <v>125</v>
      </c>
      <c r="Z91" s="19"/>
    </row>
    <row r="92" spans="1:26" x14ac:dyDescent="0.25">
      <c r="A92" s="18">
        <v>34155</v>
      </c>
      <c r="B92" s="96" t="str">
        <f>VLOOKUP(A92,ADM!$A$1:$R$343,14,0)</f>
        <v>CC la Domitienne</v>
      </c>
      <c r="C92" s="19"/>
      <c r="D92" s="19"/>
      <c r="E92" s="19"/>
      <c r="F92" s="19"/>
      <c r="G92" s="19"/>
      <c r="H92" s="19"/>
      <c r="I92" s="19">
        <v>6</v>
      </c>
      <c r="J92" s="19"/>
      <c r="K92" s="19"/>
      <c r="L92" s="19"/>
      <c r="M92" s="19">
        <v>4</v>
      </c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x14ac:dyDescent="0.25">
      <c r="A93" s="18">
        <v>34157</v>
      </c>
      <c r="B93" s="96" t="str">
        <f>VLOOKUP(A93,ADM!$A$1:$R$343,14,0)</f>
        <v>Sète Agglopôle Méditerranée</v>
      </c>
      <c r="C93" s="19"/>
      <c r="D93" s="19"/>
      <c r="E93" s="19"/>
      <c r="F93" s="19">
        <v>3</v>
      </c>
      <c r="G93" s="19"/>
      <c r="H93" s="19"/>
      <c r="I93" s="19">
        <v>41</v>
      </c>
      <c r="J93" s="19"/>
      <c r="K93" s="19"/>
      <c r="L93" s="19"/>
      <c r="M93" s="19">
        <v>333</v>
      </c>
      <c r="N93" s="19"/>
      <c r="O93" s="19"/>
      <c r="P93" s="19">
        <v>79</v>
      </c>
      <c r="Q93" s="19"/>
      <c r="R93" s="19"/>
      <c r="S93" s="19">
        <v>28</v>
      </c>
      <c r="T93" s="19"/>
      <c r="U93" s="19">
        <v>111</v>
      </c>
      <c r="V93" s="19"/>
      <c r="W93" s="19">
        <v>34</v>
      </c>
      <c r="X93" s="19"/>
      <c r="Y93" s="19"/>
      <c r="Z93" s="19"/>
    </row>
    <row r="94" spans="1:26" x14ac:dyDescent="0.25">
      <c r="A94" s="18">
        <v>34159</v>
      </c>
      <c r="B94" s="96" t="str">
        <f>VLOOKUP(A94,ADM!$A$1:$R$343,14,0)</f>
        <v>Sète Agglopôle Méditerranée</v>
      </c>
      <c r="C94" s="19"/>
      <c r="D94" s="19"/>
      <c r="E94" s="19"/>
      <c r="F94" s="19">
        <v>4</v>
      </c>
      <c r="G94" s="19"/>
      <c r="H94" s="19"/>
      <c r="I94" s="19"/>
      <c r="J94" s="19"/>
      <c r="K94" s="19"/>
      <c r="L94" s="19"/>
      <c r="M94" s="19">
        <v>40</v>
      </c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x14ac:dyDescent="0.25">
      <c r="A95" s="18">
        <v>34161</v>
      </c>
      <c r="B95" s="96" t="str">
        <f>VLOOKUP(A95,ADM!$A$1:$R$343,14,0)</f>
        <v>CC la Domitienne</v>
      </c>
      <c r="C95" s="19"/>
      <c r="D95" s="19"/>
      <c r="E95" s="19"/>
      <c r="F95" s="19"/>
      <c r="G95" s="19"/>
      <c r="H95" s="19"/>
      <c r="I95" s="19">
        <v>17</v>
      </c>
      <c r="J95" s="19"/>
      <c r="K95" s="19"/>
      <c r="L95" s="19"/>
      <c r="M95" s="19">
        <v>26</v>
      </c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x14ac:dyDescent="0.25">
      <c r="A96" s="18">
        <v>34162</v>
      </c>
      <c r="B96" s="96" t="str">
        <f>VLOOKUP(A96,ADM!$A$1:$R$343,14,0)</f>
        <v>CA Hérault-Méditerranée</v>
      </c>
      <c r="C96" s="19"/>
      <c r="D96" s="19"/>
      <c r="E96" s="19"/>
      <c r="F96" s="19"/>
      <c r="G96" s="19"/>
      <c r="H96" s="19"/>
      <c r="I96" s="19">
        <v>67</v>
      </c>
      <c r="J96" s="19"/>
      <c r="K96" s="19"/>
      <c r="L96" s="19"/>
      <c r="M96" s="19">
        <v>113</v>
      </c>
      <c r="N96" s="19"/>
      <c r="O96" s="19"/>
      <c r="P96" s="19"/>
      <c r="Q96" s="19"/>
      <c r="R96" s="19"/>
      <c r="S96" s="19"/>
      <c r="T96" s="19"/>
      <c r="U96" s="19"/>
      <c r="V96" s="19"/>
      <c r="W96" s="19">
        <v>20</v>
      </c>
      <c r="X96" s="19"/>
      <c r="Y96" s="19"/>
      <c r="Z96" s="19"/>
    </row>
    <row r="97" spans="1:26" x14ac:dyDescent="0.25">
      <c r="A97" s="18">
        <v>34163</v>
      </c>
      <c r="B97" s="96" t="str">
        <f>VLOOKUP(A97,ADM!$A$1:$R$343,14,0)</f>
        <v>CC Vallée de l'hérault</v>
      </c>
      <c r="C97" s="19"/>
      <c r="D97" s="19"/>
      <c r="E97" s="19"/>
      <c r="F97" s="19"/>
      <c r="G97" s="19"/>
      <c r="H97" s="19"/>
      <c r="I97" s="19">
        <v>18</v>
      </c>
      <c r="J97" s="19"/>
      <c r="K97" s="19"/>
      <c r="L97" s="19"/>
      <c r="M97" s="19">
        <v>107</v>
      </c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x14ac:dyDescent="0.25">
      <c r="A98" s="18">
        <v>34164</v>
      </c>
      <c r="B98" s="96" t="str">
        <f>VLOOKUP(A98,ADM!$A$1:$R$343,14,0)</f>
        <v>Montpellier Méditerranée Métropole</v>
      </c>
      <c r="C98" s="19">
        <v>8</v>
      </c>
      <c r="D98" s="19"/>
      <c r="E98" s="19"/>
      <c r="F98" s="19"/>
      <c r="G98" s="19"/>
      <c r="H98" s="19"/>
      <c r="I98" s="19"/>
      <c r="J98" s="19"/>
      <c r="K98" s="19"/>
      <c r="L98" s="19"/>
      <c r="M98" s="19">
        <v>4</v>
      </c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x14ac:dyDescent="0.25">
      <c r="A99" s="18">
        <v>34165</v>
      </c>
      <c r="B99" s="96" t="str">
        <f>VLOOKUP(A99,ADM!$A$1:$R$343,14,0)</f>
        <v>Sète Agglopôle Méditerranée</v>
      </c>
      <c r="C99" s="19"/>
      <c r="D99" s="19"/>
      <c r="E99" s="19"/>
      <c r="F99" s="19">
        <v>2</v>
      </c>
      <c r="G99" s="19"/>
      <c r="H99" s="19"/>
      <c r="I99" s="19">
        <v>31</v>
      </c>
      <c r="J99" s="19"/>
      <c r="K99" s="19"/>
      <c r="L99" s="19"/>
      <c r="M99" s="19">
        <v>40</v>
      </c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x14ac:dyDescent="0.25">
      <c r="A100" s="18">
        <v>34166</v>
      </c>
      <c r="B100" s="96" t="str">
        <f>VLOOKUP(A100,ADM!$A$1:$R$343,14,0)</f>
        <v>CA de Béziers-Méditerranée</v>
      </c>
      <c r="C100" s="19"/>
      <c r="D100" s="19"/>
      <c r="E100" s="19"/>
      <c r="F100" s="19"/>
      <c r="G100" s="19"/>
      <c r="H100" s="19"/>
      <c r="I100" s="19">
        <v>28</v>
      </c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x14ac:dyDescent="0.25">
      <c r="A101" s="18">
        <v>34169</v>
      </c>
      <c r="B101" s="96" t="str">
        <f>VLOOKUP(A101,ADM!$A$1:$R$343,14,0)</f>
        <v>Montpellier Méditerranée Métropole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>
        <v>42</v>
      </c>
      <c r="P101" s="19">
        <v>27</v>
      </c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x14ac:dyDescent="0.25">
      <c r="A102" s="18">
        <v>34170</v>
      </c>
      <c r="B102" s="96" t="str">
        <f>VLOOKUP(A102,ADM!$A$1:$R$343,14,0)</f>
        <v>CC Sud-Hérault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>
        <v>3</v>
      </c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x14ac:dyDescent="0.25">
      <c r="A103" s="18">
        <v>34171</v>
      </c>
      <c r="B103" s="96" t="str">
        <f>VLOOKUP(A103,ADM!$A$1:$R$343,14,0)</f>
        <v>CC des Cévennes Gangeoises et Suménoises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>
        <v>7</v>
      </c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x14ac:dyDescent="0.25">
      <c r="A104" s="18">
        <v>34172</v>
      </c>
      <c r="B104" s="96" t="str">
        <f>VLOOKUP(A104,ADM!$A$1:$R$343,14,0)</f>
        <v>Montpellier Méditerranée Métropole</v>
      </c>
      <c r="C104" s="19">
        <v>21082</v>
      </c>
      <c r="D104" s="19">
        <v>21</v>
      </c>
      <c r="E104" s="19">
        <v>34</v>
      </c>
      <c r="F104" s="19">
        <v>803</v>
      </c>
      <c r="G104" s="19">
        <v>39</v>
      </c>
      <c r="H104" s="19">
        <v>1148</v>
      </c>
      <c r="I104" s="19">
        <v>861</v>
      </c>
      <c r="J104" s="19">
        <v>225</v>
      </c>
      <c r="K104" s="19"/>
      <c r="L104" s="19">
        <v>32</v>
      </c>
      <c r="M104" s="19">
        <v>3078</v>
      </c>
      <c r="N104" s="19"/>
      <c r="O104" s="19">
        <v>641</v>
      </c>
      <c r="P104" s="19">
        <v>43</v>
      </c>
      <c r="Q104" s="19"/>
      <c r="R104" s="19"/>
      <c r="S104" s="19"/>
      <c r="T104" s="19">
        <v>35</v>
      </c>
      <c r="U104" s="19">
        <v>651</v>
      </c>
      <c r="V104" s="19">
        <v>142</v>
      </c>
      <c r="W104" s="19">
        <v>584</v>
      </c>
      <c r="X104" s="19"/>
      <c r="Y104" s="19">
        <v>234</v>
      </c>
      <c r="Z104" s="19"/>
    </row>
    <row r="105" spans="1:26" x14ac:dyDescent="0.25">
      <c r="A105" s="18">
        <v>34176</v>
      </c>
      <c r="B105" s="96" t="str">
        <f>VLOOKUP(A105,ADM!$A$1:$R$343,14,0)</f>
        <v>CA du Pays de l'Or</v>
      </c>
      <c r="C105" s="19"/>
      <c r="D105" s="19"/>
      <c r="E105" s="19"/>
      <c r="F105" s="19"/>
      <c r="G105" s="19"/>
      <c r="H105" s="19"/>
      <c r="I105" s="19">
        <v>36</v>
      </c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>
        <v>18</v>
      </c>
      <c r="X105" s="19"/>
      <c r="Y105" s="19"/>
      <c r="Z105" s="19"/>
    </row>
    <row r="106" spans="1:26" x14ac:dyDescent="0.25">
      <c r="A106" s="18">
        <v>34178</v>
      </c>
      <c r="B106" s="96" t="str">
        <f>VLOOKUP(A106,ADM!$A$1:$R$343,14,0)</f>
        <v>CC les Avant-Monts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>
        <v>92</v>
      </c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x14ac:dyDescent="0.25">
      <c r="A107" s="18">
        <v>34179</v>
      </c>
      <c r="B107" s="96" t="str">
        <f>VLOOKUP(A107,ADM!$A$1:$R$343,14,0)</f>
        <v>Montpellier Méditerranée Métropole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>
        <v>27</v>
      </c>
      <c r="N107" s="19"/>
      <c r="O107" s="19"/>
      <c r="P107" s="19"/>
      <c r="Q107" s="19"/>
      <c r="R107" s="19"/>
      <c r="S107" s="19"/>
      <c r="T107" s="19"/>
      <c r="U107" s="19"/>
      <c r="V107" s="19"/>
      <c r="W107" s="19">
        <v>19</v>
      </c>
      <c r="X107" s="19"/>
      <c r="Y107" s="19"/>
      <c r="Z107" s="19"/>
    </row>
    <row r="108" spans="1:26" x14ac:dyDescent="0.25">
      <c r="A108" s="18">
        <v>34180</v>
      </c>
      <c r="B108" s="96" t="str">
        <f>VLOOKUP(A108,ADM!$A$1:$R$343,14,0)</f>
        <v>CC du Clermontais</v>
      </c>
      <c r="C108" s="19"/>
      <c r="D108" s="19"/>
      <c r="E108" s="19"/>
      <c r="F108" s="19"/>
      <c r="G108" s="19"/>
      <c r="H108" s="19"/>
      <c r="I108" s="19">
        <v>15</v>
      </c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x14ac:dyDescent="0.25">
      <c r="A109" s="18">
        <v>34181</v>
      </c>
      <c r="B109" s="96" t="str">
        <f>VLOOKUP(A109,ADM!$A$1:$R$343,14,0)</f>
        <v>CC les Avant-Monts</v>
      </c>
      <c r="C109" s="19"/>
      <c r="D109" s="19"/>
      <c r="E109" s="19"/>
      <c r="F109" s="19"/>
      <c r="G109" s="19"/>
      <c r="H109" s="19"/>
      <c r="I109" s="19">
        <v>6</v>
      </c>
      <c r="J109" s="19"/>
      <c r="K109" s="19"/>
      <c r="L109" s="19"/>
      <c r="M109" s="19">
        <v>5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x14ac:dyDescent="0.25">
      <c r="A110" s="18">
        <v>34182</v>
      </c>
      <c r="B110" s="96" t="str">
        <f>VLOOKUP(A110,ADM!$A$1:$R$343,14,0)</f>
        <v>CA Hérault-Méditerranée</v>
      </c>
      <c r="C110" s="19"/>
      <c r="D110" s="19"/>
      <c r="E110" s="19"/>
      <c r="F110" s="19"/>
      <c r="G110" s="19"/>
      <c r="H110" s="19"/>
      <c r="I110" s="19">
        <v>15</v>
      </c>
      <c r="J110" s="19"/>
      <c r="K110" s="19"/>
      <c r="L110" s="19"/>
      <c r="M110" s="19">
        <v>10</v>
      </c>
      <c r="N110" s="19"/>
      <c r="O110" s="19"/>
      <c r="P110" s="19"/>
      <c r="Q110" s="19"/>
      <c r="R110" s="19"/>
      <c r="S110" s="19"/>
      <c r="T110" s="19"/>
      <c r="U110" s="19"/>
      <c r="V110" s="19"/>
      <c r="W110" s="19">
        <v>40</v>
      </c>
      <c r="X110" s="19"/>
      <c r="Y110" s="19"/>
      <c r="Z110" s="19"/>
    </row>
    <row r="111" spans="1:26" x14ac:dyDescent="0.25">
      <c r="A111" s="18">
        <v>34183</v>
      </c>
      <c r="B111" s="96" t="str">
        <f>VLOOKUP(A111,ADM!$A$1:$R$343,14,0)</f>
        <v>CC la Domitienne</v>
      </c>
      <c r="C111" s="19"/>
      <c r="D111" s="19"/>
      <c r="E111" s="19"/>
      <c r="F111" s="19"/>
      <c r="G111" s="19"/>
      <c r="H111" s="19"/>
      <c r="I111" s="19">
        <v>16</v>
      </c>
      <c r="J111" s="19"/>
      <c r="K111" s="19"/>
      <c r="L111" s="19"/>
      <c r="M111" s="19">
        <v>18</v>
      </c>
      <c r="N111" s="19"/>
      <c r="O111" s="19"/>
      <c r="P111" s="19"/>
      <c r="Q111" s="19"/>
      <c r="R111" s="19"/>
      <c r="S111" s="19"/>
      <c r="T111" s="19"/>
      <c r="U111" s="19"/>
      <c r="V111" s="19"/>
      <c r="W111" s="19">
        <v>20</v>
      </c>
      <c r="X111" s="19"/>
      <c r="Y111" s="19"/>
      <c r="Z111" s="19"/>
    </row>
    <row r="112" spans="1:26" x14ac:dyDescent="0.25">
      <c r="A112" s="18">
        <v>34184</v>
      </c>
      <c r="B112" s="96" t="str">
        <f>VLOOKUP(A112,ADM!$A$1:$R$343,14,0)</f>
        <v>CA Hérault-Méditerranée</v>
      </c>
      <c r="C112" s="19"/>
      <c r="D112" s="19"/>
      <c r="E112" s="19"/>
      <c r="F112" s="19"/>
      <c r="G112" s="19"/>
      <c r="H112" s="19"/>
      <c r="I112" s="19">
        <v>7</v>
      </c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x14ac:dyDescent="0.25">
      <c r="A113" s="18">
        <v>34186</v>
      </c>
      <c r="B113" s="96" t="str">
        <f>VLOOKUP(A113,ADM!$A$1:$R$343,14,0)</f>
        <v>CC du Clermontais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>
        <v>12</v>
      </c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x14ac:dyDescent="0.25">
      <c r="A114" s="18">
        <v>34187</v>
      </c>
      <c r="B114" s="96" t="str">
        <f>VLOOKUP(A114,ADM!$A$1:$R$343,14,0)</f>
        <v>CC Du Minervois au Caroux en Haut-Languedoc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>
        <v>8</v>
      </c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x14ac:dyDescent="0.25">
      <c r="A115" s="18">
        <v>34190</v>
      </c>
      <c r="B115" s="96" t="str">
        <f>VLOOKUP(A115,ADM!$A$1:$R$343,14,0)</f>
        <v>CC Du Minervois au Caroux en Haut-Languedoc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>
        <v>7</v>
      </c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x14ac:dyDescent="0.25">
      <c r="A116" s="18">
        <v>34192</v>
      </c>
      <c r="B116" s="96" t="str">
        <f>VLOOKUP(A116,ADM!$A$1:$R$343,14,0)</f>
        <v>CA du Pays de l'Or</v>
      </c>
      <c r="C116" s="19">
        <v>76</v>
      </c>
      <c r="D116" s="19"/>
      <c r="E116" s="19"/>
      <c r="F116" s="19">
        <v>160</v>
      </c>
      <c r="G116" s="19"/>
      <c r="H116" s="19"/>
      <c r="I116" s="19">
        <v>36</v>
      </c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>
        <v>14</v>
      </c>
      <c r="V116" s="19"/>
      <c r="W116" s="19"/>
      <c r="X116" s="19"/>
      <c r="Y116" s="19">
        <v>45</v>
      </c>
      <c r="Z116" s="19"/>
    </row>
    <row r="117" spans="1:26" x14ac:dyDescent="0.25">
      <c r="A117" s="18">
        <v>34194</v>
      </c>
      <c r="B117" s="96" t="str">
        <f>VLOOKUP(A117,ADM!$A$1:$R$343,14,0)</f>
        <v>CC du Clermontais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>
        <v>91</v>
      </c>
      <c r="N117" s="19"/>
      <c r="O117" s="19"/>
      <c r="P117" s="19"/>
      <c r="Q117" s="19"/>
      <c r="R117" s="19"/>
      <c r="S117" s="19"/>
      <c r="T117" s="19"/>
      <c r="U117" s="19">
        <v>22</v>
      </c>
      <c r="V117" s="19"/>
      <c r="W117" s="19"/>
      <c r="X117" s="19"/>
      <c r="Y117" s="19"/>
      <c r="Z117" s="19"/>
    </row>
    <row r="118" spans="1:26" x14ac:dyDescent="0.25">
      <c r="A118" s="18">
        <v>34197</v>
      </c>
      <c r="B118" s="96" t="str">
        <f>VLOOKUP(A118,ADM!$A$1:$R$343,14,0)</f>
        <v>CC du Clermontais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>
        <v>12</v>
      </c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x14ac:dyDescent="0.25">
      <c r="A119" s="18">
        <v>34198</v>
      </c>
      <c r="B119" s="96" t="str">
        <f>VLOOKUP(A119,ADM!$A$1:$R$343,14,0)</f>
        <v>Montpellier Méditerranée Métropole</v>
      </c>
      <c r="C119" s="19">
        <v>22</v>
      </c>
      <c r="D119" s="19"/>
      <c r="E119" s="19"/>
      <c r="F119" s="19">
        <v>30</v>
      </c>
      <c r="G119" s="19"/>
      <c r="H119" s="19">
        <v>71</v>
      </c>
      <c r="I119" s="19">
        <v>37</v>
      </c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>
        <v>10</v>
      </c>
      <c r="Z119" s="19"/>
    </row>
    <row r="120" spans="1:26" x14ac:dyDescent="0.25">
      <c r="A120" s="18">
        <v>34199</v>
      </c>
      <c r="B120" s="96" t="str">
        <f>VLOOKUP(A120,ADM!$A$1:$R$343,14,0)</f>
        <v>CA Hérault-Méditerranée</v>
      </c>
      <c r="C120" s="19"/>
      <c r="D120" s="19"/>
      <c r="E120" s="19"/>
      <c r="F120" s="19"/>
      <c r="G120" s="19"/>
      <c r="H120" s="19">
        <v>40</v>
      </c>
      <c r="I120" s="19"/>
      <c r="J120" s="19"/>
      <c r="K120" s="19"/>
      <c r="L120" s="19"/>
      <c r="M120" s="19">
        <v>569</v>
      </c>
      <c r="N120" s="19"/>
      <c r="O120" s="19"/>
      <c r="P120" s="19"/>
      <c r="Q120" s="19"/>
      <c r="R120" s="19"/>
      <c r="S120" s="19"/>
      <c r="T120" s="19"/>
      <c r="U120" s="19">
        <v>15</v>
      </c>
      <c r="V120" s="19"/>
      <c r="W120" s="19"/>
      <c r="X120" s="19"/>
      <c r="Y120" s="19"/>
      <c r="Z120" s="19"/>
    </row>
    <row r="121" spans="1:26" x14ac:dyDescent="0.25">
      <c r="A121" s="18">
        <v>34202</v>
      </c>
      <c r="B121" s="96" t="str">
        <f>VLOOKUP(A121,ADM!$A$1:$R$343,14,0)</f>
        <v>Montpellier Méditerranée Métropole</v>
      </c>
      <c r="C121" s="19">
        <v>76</v>
      </c>
      <c r="D121" s="19"/>
      <c r="E121" s="19"/>
      <c r="F121" s="19">
        <v>54</v>
      </c>
      <c r="G121" s="19"/>
      <c r="H121" s="19">
        <v>180</v>
      </c>
      <c r="I121" s="19">
        <v>44</v>
      </c>
      <c r="J121" s="19"/>
      <c r="K121" s="19"/>
      <c r="L121" s="19"/>
      <c r="M121" s="19">
        <v>46</v>
      </c>
      <c r="N121" s="19"/>
      <c r="O121" s="19"/>
      <c r="P121" s="19">
        <v>32</v>
      </c>
      <c r="Q121" s="19"/>
      <c r="R121" s="19"/>
      <c r="S121" s="19"/>
      <c r="T121" s="19"/>
      <c r="U121" s="19">
        <v>20</v>
      </c>
      <c r="V121" s="19"/>
      <c r="W121" s="19"/>
      <c r="X121" s="19"/>
      <c r="Y121" s="19"/>
      <c r="Z121" s="19"/>
    </row>
    <row r="122" spans="1:26" x14ac:dyDescent="0.25">
      <c r="A122" s="18">
        <v>34203</v>
      </c>
      <c r="B122" s="96" t="str">
        <f>VLOOKUP(A122,ADM!$A$1:$R$343,14,0)</f>
        <v>CA Hérault-Méditerranée</v>
      </c>
      <c r="C122" s="19"/>
      <c r="D122" s="19"/>
      <c r="E122" s="19"/>
      <c r="F122" s="19"/>
      <c r="G122" s="19"/>
      <c r="H122" s="19"/>
      <c r="I122" s="19">
        <v>41</v>
      </c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>
        <v>7</v>
      </c>
      <c r="Z122" s="19"/>
    </row>
    <row r="123" spans="1:26" x14ac:dyDescent="0.25">
      <c r="A123" s="18">
        <v>34204</v>
      </c>
      <c r="B123" s="96" t="str">
        <f>VLOOKUP(A123,ADM!$A$1:$R$343,14,0)</f>
        <v>CC Vallée de l'hérault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19</v>
      </c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x14ac:dyDescent="0.25">
      <c r="A124" s="18">
        <v>34206</v>
      </c>
      <c r="B124" s="96" t="str">
        <f>VLOOKUP(A124,ADM!$A$1:$R$343,14,0)</f>
        <v>CC Sud-Hérault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7</v>
      </c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x14ac:dyDescent="0.25">
      <c r="A125" s="18">
        <v>34207</v>
      </c>
      <c r="B125" s="96" t="str">
        <f>VLOOKUP(A125,ADM!$A$1:$R$343,14,0)</f>
        <v>CA Hérault-Méditerranée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>
        <v>7</v>
      </c>
      <c r="X125" s="19"/>
      <c r="Y125" s="19"/>
      <c r="Z125" s="19"/>
    </row>
    <row r="126" spans="1:26" x14ac:dyDescent="0.25">
      <c r="A126" s="18">
        <v>34209</v>
      </c>
      <c r="B126" s="96" t="str">
        <f>VLOOKUP(A126,ADM!$A$1:$R$343,14,0)</f>
        <v>CA Hérault-Méditerranée</v>
      </c>
      <c r="C126" s="19"/>
      <c r="D126" s="19"/>
      <c r="E126" s="19"/>
      <c r="F126" s="19"/>
      <c r="G126" s="19"/>
      <c r="H126" s="19"/>
      <c r="I126" s="19">
        <v>102</v>
      </c>
      <c r="J126" s="19"/>
      <c r="K126" s="19"/>
      <c r="L126" s="19"/>
      <c r="M126" s="19">
        <v>4</v>
      </c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x14ac:dyDescent="0.25">
      <c r="A127" s="18">
        <v>34210</v>
      </c>
      <c r="B127" s="96" t="str">
        <f>VLOOKUP(A127,ADM!$A$1:$R$343,14,0)</f>
        <v>CC Vallée de l'hérault</v>
      </c>
      <c r="C127" s="19"/>
      <c r="D127" s="19"/>
      <c r="E127" s="19"/>
      <c r="F127" s="19"/>
      <c r="G127" s="19"/>
      <c r="H127" s="19"/>
      <c r="I127" s="19">
        <v>26</v>
      </c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x14ac:dyDescent="0.25">
      <c r="A128" s="18">
        <v>34211</v>
      </c>
      <c r="B128" s="96" t="str">
        <f>VLOOKUP(A128,ADM!$A$1:$R$343,14,0)</f>
        <v>CC Grand Orb en Languedoc</v>
      </c>
      <c r="C128" s="19"/>
      <c r="D128" s="19"/>
      <c r="E128" s="19"/>
      <c r="F128" s="19"/>
      <c r="G128" s="19"/>
      <c r="H128" s="19"/>
      <c r="I128" s="19">
        <v>11</v>
      </c>
      <c r="J128" s="19"/>
      <c r="K128" s="19"/>
      <c r="L128" s="19"/>
      <c r="M128" s="19">
        <v>5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x14ac:dyDescent="0.25">
      <c r="A129" s="18">
        <v>34213</v>
      </c>
      <c r="B129" s="96" t="str">
        <f>VLOOKUP(A129,ADM!$A$1:$R$343,14,0)</f>
        <v>Sète Agglopôle Méditerranée</v>
      </c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>
        <v>37</v>
      </c>
      <c r="N129" s="19"/>
      <c r="O129" s="19"/>
      <c r="P129" s="19"/>
      <c r="Q129" s="19"/>
      <c r="R129" s="19"/>
      <c r="S129" s="19">
        <v>40</v>
      </c>
      <c r="T129" s="19"/>
      <c r="U129" s="19"/>
      <c r="V129" s="19"/>
      <c r="W129" s="19"/>
      <c r="X129" s="19"/>
      <c r="Y129" s="19"/>
      <c r="Z129" s="19"/>
    </row>
    <row r="130" spans="1:26" x14ac:dyDescent="0.25">
      <c r="A130" s="18">
        <v>34214</v>
      </c>
      <c r="B130" s="96" t="str">
        <f>VLOOKUP(A130,ADM!$A$1:$R$343,14,0)</f>
        <v>CC les Avant-Monts</v>
      </c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>
        <v>4</v>
      </c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x14ac:dyDescent="0.25">
      <c r="A131" s="18">
        <v>34215</v>
      </c>
      <c r="B131" s="96" t="str">
        <f>VLOOKUP(A131,ADM!$A$1:$R$343,14,0)</f>
        <v>CC Vallée de l'hérault</v>
      </c>
      <c r="C131" s="19"/>
      <c r="D131" s="19"/>
      <c r="E131" s="19"/>
      <c r="F131" s="19"/>
      <c r="G131" s="19"/>
      <c r="H131" s="19"/>
      <c r="I131" s="19">
        <v>10</v>
      </c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x14ac:dyDescent="0.25">
      <c r="A132" s="18">
        <v>34217</v>
      </c>
      <c r="B132" s="96" t="str">
        <f>VLOOKUP(A132,ADM!$A$1:$R$343,14,0)</f>
        <v>Montpellier Méditerranée Métropole</v>
      </c>
      <c r="C132" s="19">
        <v>51</v>
      </c>
      <c r="D132" s="19"/>
      <c r="E132" s="19"/>
      <c r="F132" s="19">
        <v>5</v>
      </c>
      <c r="G132" s="19"/>
      <c r="H132" s="19"/>
      <c r="I132" s="19">
        <v>121</v>
      </c>
      <c r="J132" s="19"/>
      <c r="K132" s="19"/>
      <c r="L132" s="19"/>
      <c r="M132" s="19">
        <v>7</v>
      </c>
      <c r="N132" s="19"/>
      <c r="O132" s="19"/>
      <c r="P132" s="19"/>
      <c r="Q132" s="19"/>
      <c r="R132" s="19"/>
      <c r="S132" s="19"/>
      <c r="T132" s="19"/>
      <c r="U132" s="19">
        <v>8</v>
      </c>
      <c r="V132" s="19"/>
      <c r="W132" s="19">
        <v>14</v>
      </c>
      <c r="X132" s="19"/>
      <c r="Y132" s="19">
        <v>33</v>
      </c>
      <c r="Z132" s="19"/>
    </row>
    <row r="133" spans="1:26" x14ac:dyDescent="0.25">
      <c r="A133" s="18">
        <v>34219</v>
      </c>
      <c r="B133" s="96" t="str">
        <f>VLOOKUP(A133,ADM!$A$1:$R$343,14,0)</f>
        <v>CC Du Minervois au Caroux en Haut-Languedoc</v>
      </c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>
        <v>12</v>
      </c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x14ac:dyDescent="0.25">
      <c r="A134" s="18">
        <v>34225</v>
      </c>
      <c r="B134" s="96" t="str">
        <f>VLOOKUP(A134,ADM!$A$1:$R$343,14,0)</f>
        <v>CC Sud-Hérault</v>
      </c>
      <c r="C134" s="19"/>
      <c r="D134" s="19"/>
      <c r="E134" s="19"/>
      <c r="F134" s="19"/>
      <c r="G134" s="19"/>
      <c r="H134" s="19"/>
      <c r="I134" s="19">
        <v>16</v>
      </c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x14ac:dyDescent="0.25">
      <c r="A135" s="18">
        <v>34226</v>
      </c>
      <c r="B135" s="96" t="str">
        <f>VLOOKUP(A135,ADM!$A$1:$R$343,14,0)</f>
        <v>CC Sud-Hérault</v>
      </c>
      <c r="C135" s="19"/>
      <c r="D135" s="19"/>
      <c r="E135" s="19"/>
      <c r="F135" s="19"/>
      <c r="G135" s="19"/>
      <c r="H135" s="19"/>
      <c r="I135" s="19">
        <v>10</v>
      </c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x14ac:dyDescent="0.25">
      <c r="A136" s="18">
        <v>34227</v>
      </c>
      <c r="B136" s="96" t="str">
        <f>VLOOKUP(A136,ADM!$A$1:$R$343,14,0)</f>
        <v>Montpellier Méditerranée Métropole</v>
      </c>
      <c r="C136" s="19"/>
      <c r="D136" s="19"/>
      <c r="E136" s="19"/>
      <c r="F136" s="19"/>
      <c r="G136" s="19"/>
      <c r="H136" s="19"/>
      <c r="I136" s="19">
        <v>35</v>
      </c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>
        <v>18</v>
      </c>
      <c r="Z136" s="19"/>
    </row>
    <row r="137" spans="1:26" x14ac:dyDescent="0.25">
      <c r="A137" s="18">
        <v>34232</v>
      </c>
      <c r="B137" s="96" t="str">
        <f>VLOOKUP(A137,ADM!$A$1:$R$343,14,0)</f>
        <v>CC Du Minervois au Caroux en Haut-Languedoc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>
        <v>8</v>
      </c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x14ac:dyDescent="0.25">
      <c r="A138" s="18">
        <v>34235</v>
      </c>
      <c r="B138" s="96" t="str">
        <f>VLOOKUP(A138,ADM!$A$1:$R$343,14,0)</f>
        <v>CC des Monts de Lacaune et de la Montagne du Haut Languedoc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>
        <v>4</v>
      </c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x14ac:dyDescent="0.25">
      <c r="A139" s="18">
        <v>34237</v>
      </c>
      <c r="B139" s="96" t="str">
        <f>VLOOKUP(A139,ADM!$A$1:$R$343,14,0)</f>
        <v>CC les Avant-Monts</v>
      </c>
      <c r="C139" s="19"/>
      <c r="D139" s="19"/>
      <c r="E139" s="19"/>
      <c r="F139" s="19"/>
      <c r="G139" s="19"/>
      <c r="H139" s="19"/>
      <c r="I139" s="19">
        <v>23</v>
      </c>
      <c r="J139" s="19"/>
      <c r="K139" s="19"/>
      <c r="L139" s="19"/>
      <c r="M139" s="19">
        <v>21</v>
      </c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x14ac:dyDescent="0.25">
      <c r="A140" s="18">
        <v>34239</v>
      </c>
      <c r="B140" s="96" t="str">
        <f>VLOOKUP(A140,ADM!$A$1:$R$343,14,0)</f>
        <v>CC Vallée de l'hérault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>
        <v>107</v>
      </c>
      <c r="N140" s="19"/>
      <c r="O140" s="19">
        <v>12</v>
      </c>
      <c r="P140" s="19"/>
      <c r="Q140" s="19"/>
      <c r="R140" s="19"/>
      <c r="S140" s="19"/>
      <c r="T140" s="19"/>
      <c r="U140" s="19"/>
      <c r="V140" s="19"/>
      <c r="W140" s="19">
        <v>24</v>
      </c>
      <c r="X140" s="19"/>
      <c r="Y140" s="19"/>
      <c r="Z140" s="19"/>
    </row>
    <row r="141" spans="1:26" x14ac:dyDescent="0.25">
      <c r="A141" s="18">
        <v>34240</v>
      </c>
      <c r="B141" s="96" t="str">
        <f>VLOOKUP(A141,ADM!$A$1:$R$343,14,0)</f>
        <v>CA du Pays de l'Or</v>
      </c>
      <c r="C141" s="19"/>
      <c r="D141" s="19"/>
      <c r="E141" s="19"/>
      <c r="F141" s="19"/>
      <c r="G141" s="19"/>
      <c r="H141" s="19"/>
      <c r="I141" s="19">
        <v>45</v>
      </c>
      <c r="J141" s="19"/>
      <c r="K141" s="19"/>
      <c r="L141" s="19"/>
      <c r="M141" s="19">
        <v>22</v>
      </c>
      <c r="N141" s="19"/>
      <c r="O141" s="19"/>
      <c r="P141" s="19"/>
      <c r="Q141" s="19"/>
      <c r="R141" s="19"/>
      <c r="S141" s="19"/>
      <c r="T141" s="19"/>
      <c r="U141" s="19">
        <v>15</v>
      </c>
      <c r="V141" s="19"/>
      <c r="W141" s="19"/>
      <c r="X141" s="19"/>
      <c r="Y141" s="19">
        <v>21</v>
      </c>
      <c r="Z141" s="19"/>
    </row>
    <row r="142" spans="1:26" x14ac:dyDescent="0.25">
      <c r="A142" s="18">
        <v>34244</v>
      </c>
      <c r="B142" s="96" t="str">
        <f>VLOOKUP(A142,ADM!$A$1:$R$343,14,0)</f>
        <v>Montpellier Méditerranée Métropole</v>
      </c>
      <c r="C142" s="19">
        <v>50</v>
      </c>
      <c r="D142" s="19"/>
      <c r="E142" s="19"/>
      <c r="F142" s="19"/>
      <c r="G142" s="19"/>
      <c r="H142" s="19"/>
      <c r="I142" s="19">
        <v>139</v>
      </c>
      <c r="J142" s="19"/>
      <c r="K142" s="19"/>
      <c r="L142" s="19"/>
      <c r="M142" s="19">
        <v>13</v>
      </c>
      <c r="N142" s="19"/>
      <c r="O142" s="19"/>
      <c r="P142" s="19"/>
      <c r="Q142" s="19"/>
      <c r="R142" s="19"/>
      <c r="S142" s="19"/>
      <c r="T142" s="19"/>
      <c r="U142" s="19"/>
      <c r="V142" s="19"/>
      <c r="W142" s="19">
        <v>10</v>
      </c>
      <c r="X142" s="19"/>
      <c r="Y142" s="19"/>
      <c r="Z142" s="19"/>
    </row>
    <row r="143" spans="1:26" x14ac:dyDescent="0.25">
      <c r="A143" s="18">
        <v>34245</v>
      </c>
      <c r="B143" s="96" t="str">
        <f>VLOOKUP(A143,ADM!$A$1:$R$343,14,0)</f>
        <v>CC Sud-Hérault</v>
      </c>
      <c r="C143" s="19"/>
      <c r="D143" s="19"/>
      <c r="E143" s="19"/>
      <c r="F143" s="19"/>
      <c r="G143" s="19"/>
      <c r="H143" s="19"/>
      <c r="I143" s="19">
        <v>22</v>
      </c>
      <c r="J143" s="19"/>
      <c r="K143" s="19"/>
      <c r="L143" s="19"/>
      <c r="M143" s="19">
        <v>20</v>
      </c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x14ac:dyDescent="0.25">
      <c r="A144" s="18">
        <v>34247</v>
      </c>
      <c r="B144" s="96" t="str">
        <f>VLOOKUP(A144,ADM!$A$1:$R$343,14,0)</f>
        <v>CC du Grand Pic Saint-Loup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>
        <v>29</v>
      </c>
      <c r="Z144" s="19"/>
    </row>
    <row r="145" spans="1:26" x14ac:dyDescent="0.25">
      <c r="A145" s="18">
        <v>34249</v>
      </c>
      <c r="B145" s="96" t="str">
        <f>VLOOKUP(A145,ADM!$A$1:$R$343,14,0)</f>
        <v>Montpellier Méditerranée Métropole</v>
      </c>
      <c r="C145" s="19"/>
      <c r="D145" s="19"/>
      <c r="E145" s="19"/>
      <c r="F145" s="19">
        <v>9</v>
      </c>
      <c r="G145" s="19"/>
      <c r="H145" s="19"/>
      <c r="I145" s="19">
        <v>13</v>
      </c>
      <c r="J145" s="19"/>
      <c r="K145" s="19"/>
      <c r="L145" s="19"/>
      <c r="M145" s="19">
        <v>7</v>
      </c>
      <c r="N145" s="19"/>
      <c r="O145" s="19"/>
      <c r="P145" s="19"/>
      <c r="Q145" s="19"/>
      <c r="R145" s="19"/>
      <c r="S145" s="19"/>
      <c r="T145" s="19"/>
      <c r="U145" s="19">
        <v>12</v>
      </c>
      <c r="V145" s="19"/>
      <c r="W145" s="19"/>
      <c r="X145" s="19"/>
      <c r="Y145" s="19"/>
      <c r="Z145" s="19"/>
    </row>
    <row r="146" spans="1:26" x14ac:dyDescent="0.25">
      <c r="A146" s="18">
        <v>34255</v>
      </c>
      <c r="B146" s="96" t="str">
        <f>VLOOKUP(A146,ADM!$A$1:$R$343,14,0)</f>
        <v>CC du Grand Pic Saint-Loup</v>
      </c>
      <c r="C146" s="19"/>
      <c r="D146" s="19"/>
      <c r="E146" s="19"/>
      <c r="F146" s="19">
        <v>57</v>
      </c>
      <c r="G146" s="19"/>
      <c r="H146" s="19">
        <v>8</v>
      </c>
      <c r="I146" s="19">
        <v>70</v>
      </c>
      <c r="J146" s="19"/>
      <c r="K146" s="19"/>
      <c r="L146" s="19"/>
      <c r="M146" s="19">
        <v>6</v>
      </c>
      <c r="N146" s="19"/>
      <c r="O146" s="19"/>
      <c r="P146" s="19"/>
      <c r="Q146" s="19"/>
      <c r="R146" s="19"/>
      <c r="S146" s="19"/>
      <c r="T146" s="19"/>
      <c r="U146" s="19">
        <v>12</v>
      </c>
      <c r="V146" s="19"/>
      <c r="W146" s="19">
        <v>9</v>
      </c>
      <c r="X146" s="19"/>
      <c r="Y146" s="19">
        <v>12</v>
      </c>
      <c r="Z146" s="19"/>
    </row>
    <row r="147" spans="1:26" x14ac:dyDescent="0.25">
      <c r="A147" s="18">
        <v>34256</v>
      </c>
      <c r="B147" s="96" t="str">
        <f>VLOOKUP(A147,ADM!$A$1:$R$343,14,0)</f>
        <v>Montpellier Méditerranée Métropole</v>
      </c>
      <c r="C147" s="19"/>
      <c r="D147" s="19"/>
      <c r="E147" s="19"/>
      <c r="F147" s="19"/>
      <c r="G147" s="19"/>
      <c r="H147" s="19"/>
      <c r="I147" s="19">
        <v>92</v>
      </c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x14ac:dyDescent="0.25">
      <c r="A148" s="18">
        <v>34258</v>
      </c>
      <c r="B148" s="96" t="str">
        <f>VLOOKUP(A148,ADM!$A$1:$R$343,14,0)</f>
        <v>CC les Avant-Monts</v>
      </c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>
        <v>5</v>
      </c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x14ac:dyDescent="0.25">
      <c r="A149" s="18">
        <v>34259</v>
      </c>
      <c r="B149" s="96" t="str">
        <f>VLOOKUP(A149,ADM!$A$1:$R$343,14,0)</f>
        <v>Montpellier Méditerranée Métropole</v>
      </c>
      <c r="C149" s="19">
        <v>7</v>
      </c>
      <c r="D149" s="19"/>
      <c r="E149" s="19"/>
      <c r="F149" s="19">
        <v>82</v>
      </c>
      <c r="G149" s="19"/>
      <c r="H149" s="19"/>
      <c r="I149" s="19"/>
      <c r="J149" s="19"/>
      <c r="K149" s="19"/>
      <c r="L149" s="19"/>
      <c r="M149" s="19">
        <v>51</v>
      </c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x14ac:dyDescent="0.25">
      <c r="A150" s="18">
        <v>34260</v>
      </c>
      <c r="B150" s="96" t="str">
        <f>VLOOKUP(A150,ADM!$A$1:$R$343,14,0)</f>
        <v>CC Grand Orb en Languedoc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>
        <v>22</v>
      </c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x14ac:dyDescent="0.25">
      <c r="A151" s="18">
        <v>34264</v>
      </c>
      <c r="B151" s="96" t="str">
        <f>VLOOKUP(A151,ADM!$A$1:$R$343,14,0)</f>
        <v>CC du Grand Pic Saint-Loup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>
        <v>5</v>
      </c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x14ac:dyDescent="0.25">
      <c r="A152" s="18">
        <v>34265</v>
      </c>
      <c r="B152" s="96" t="str">
        <f>VLOOKUP(A152,ADM!$A$1:$R$343,14,0)</f>
        <v>CC du Grand Pic Saint-Loup</v>
      </c>
      <c r="C152" s="19"/>
      <c r="D152" s="19"/>
      <c r="E152" s="19"/>
      <c r="F152" s="19"/>
      <c r="G152" s="19"/>
      <c r="H152" s="19"/>
      <c r="I152" s="19">
        <v>12</v>
      </c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x14ac:dyDescent="0.25">
      <c r="A153" s="18">
        <v>34270</v>
      </c>
      <c r="B153" s="96" t="str">
        <f>VLOOKUP(A153,ADM!$A$1:$R$343,14,0)</f>
        <v>Montpellier Méditerranée Métropole</v>
      </c>
      <c r="C153" s="19">
        <v>198</v>
      </c>
      <c r="D153" s="19"/>
      <c r="E153" s="19"/>
      <c r="F153" s="19">
        <v>116</v>
      </c>
      <c r="G153" s="19"/>
      <c r="H153" s="19"/>
      <c r="I153" s="19">
        <v>44</v>
      </c>
      <c r="J153" s="19"/>
      <c r="K153" s="19"/>
      <c r="L153" s="19"/>
      <c r="M153" s="19">
        <v>75</v>
      </c>
      <c r="N153" s="19"/>
      <c r="O153" s="19"/>
      <c r="P153" s="19">
        <v>7</v>
      </c>
      <c r="Q153" s="19"/>
      <c r="R153" s="19"/>
      <c r="S153" s="19"/>
      <c r="T153" s="19"/>
      <c r="U153" s="19">
        <v>85</v>
      </c>
      <c r="V153" s="19"/>
      <c r="W153" s="19">
        <v>47</v>
      </c>
      <c r="X153" s="19"/>
      <c r="Y153" s="19">
        <v>176</v>
      </c>
      <c r="Z153" s="19"/>
    </row>
    <row r="154" spans="1:26" x14ac:dyDescent="0.25">
      <c r="A154" s="18">
        <v>34272</v>
      </c>
      <c r="B154" s="96" t="str">
        <f>VLOOKUP(A154,ADM!$A$1:$R$343,14,0)</f>
        <v>CC du Pays de Lunel</v>
      </c>
      <c r="C154" s="19"/>
      <c r="D154" s="19"/>
      <c r="E154" s="19"/>
      <c r="F154" s="19"/>
      <c r="G154" s="19"/>
      <c r="H154" s="19"/>
      <c r="I154" s="19">
        <v>108</v>
      </c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x14ac:dyDescent="0.25">
      <c r="A155" s="18">
        <v>34274</v>
      </c>
      <c r="B155" s="96" t="str">
        <f>VLOOKUP(A155,ADM!$A$1:$R$343,14,0)</f>
        <v>CC du Grand Pic Saint-Loup</v>
      </c>
      <c r="C155" s="19"/>
      <c r="D155" s="19"/>
      <c r="E155" s="19"/>
      <c r="F155" s="19"/>
      <c r="G155" s="19"/>
      <c r="H155" s="19"/>
      <c r="I155" s="19">
        <v>24</v>
      </c>
      <c r="J155" s="19"/>
      <c r="K155" s="19"/>
      <c r="L155" s="19"/>
      <c r="M155" s="19">
        <v>54</v>
      </c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x14ac:dyDescent="0.25">
      <c r="A156" s="18">
        <v>34276</v>
      </c>
      <c r="B156" s="96" t="str">
        <f>VLOOKUP(A156,ADM!$A$1:$R$343,14,0)</f>
        <v>CC du Grand Pic Saint-Loup</v>
      </c>
      <c r="C156" s="19"/>
      <c r="D156" s="19"/>
      <c r="E156" s="19"/>
      <c r="F156" s="19"/>
      <c r="G156" s="19"/>
      <c r="H156" s="19"/>
      <c r="I156" s="19">
        <v>22</v>
      </c>
      <c r="J156" s="19"/>
      <c r="K156" s="19"/>
      <c r="L156" s="19"/>
      <c r="M156" s="19">
        <v>299</v>
      </c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x14ac:dyDescent="0.25">
      <c r="A157" s="18">
        <v>34281</v>
      </c>
      <c r="B157" s="96" t="str">
        <f>VLOOKUP(A157,ADM!$A$1:$R$343,14,0)</f>
        <v>CC Vallée de l'hérault</v>
      </c>
      <c r="C157" s="19"/>
      <c r="D157" s="19"/>
      <c r="E157" s="19"/>
      <c r="F157" s="19"/>
      <c r="G157" s="19"/>
      <c r="H157" s="19"/>
      <c r="I157" s="19">
        <v>9</v>
      </c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x14ac:dyDescent="0.25">
      <c r="A158" s="18">
        <v>34284</v>
      </c>
      <c r="B158" s="96" t="str">
        <f>VLOOKUP(A158,ADM!$A$1:$R$343,14,0)</f>
        <v>CC Du Minervois au Caroux en Haut-Languedoc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>
        <v>109</v>
      </c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x14ac:dyDescent="0.25">
      <c r="A159" s="18">
        <v>34288</v>
      </c>
      <c r="B159" s="96" t="str">
        <f>VLOOKUP(A159,ADM!$A$1:$R$343,14,0)</f>
        <v>CC du Pays de Lunel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>
        <v>18</v>
      </c>
      <c r="Z159" s="19"/>
    </row>
    <row r="160" spans="1:26" x14ac:dyDescent="0.25">
      <c r="A160" s="18">
        <v>34289</v>
      </c>
      <c r="B160" s="96" t="str">
        <f>VLOOKUP(A160,ADM!$A$1:$R$343,14,0)</f>
        <v>CA Hérault-Méditerranée</v>
      </c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>
        <v>78</v>
      </c>
      <c r="N160" s="19"/>
      <c r="O160" s="19"/>
      <c r="P160" s="19"/>
      <c r="Q160" s="19"/>
      <c r="R160" s="19"/>
      <c r="S160" s="19"/>
      <c r="T160" s="19"/>
      <c r="U160" s="19">
        <v>40</v>
      </c>
      <c r="V160" s="19"/>
      <c r="W160" s="19">
        <v>10</v>
      </c>
      <c r="X160" s="19"/>
      <c r="Y160" s="19"/>
      <c r="Z160" s="19"/>
    </row>
    <row r="161" spans="1:26" x14ac:dyDescent="0.25">
      <c r="A161" s="18">
        <v>34290</v>
      </c>
      <c r="B161" s="96" t="str">
        <f>VLOOKUP(A161,ADM!$A$1:$R$343,14,0)</f>
        <v>CC du Grand Pic Saint-Loup</v>
      </c>
      <c r="C161" s="19"/>
      <c r="D161" s="19"/>
      <c r="E161" s="19"/>
      <c r="F161" s="19"/>
      <c r="G161" s="19"/>
      <c r="H161" s="19"/>
      <c r="I161" s="19">
        <v>12</v>
      </c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x14ac:dyDescent="0.25">
      <c r="A162" s="18">
        <v>34293</v>
      </c>
      <c r="B162" s="96" t="str">
        <f>VLOOKUP(A162,ADM!$A$1:$R$343,14,0)</f>
        <v>CC des Monts de Lacaune et de la Montagne du Haut Languedoc</v>
      </c>
      <c r="C162" s="19"/>
      <c r="D162" s="19"/>
      <c r="E162" s="19"/>
      <c r="F162" s="19"/>
      <c r="G162" s="19"/>
      <c r="H162" s="19"/>
      <c r="I162" s="19">
        <v>7</v>
      </c>
      <c r="J162" s="19"/>
      <c r="K162" s="19"/>
      <c r="L162" s="19"/>
      <c r="M162" s="19">
        <v>18</v>
      </c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x14ac:dyDescent="0.25">
      <c r="A163" s="18">
        <v>34294</v>
      </c>
      <c r="B163" s="96" t="str">
        <f>VLOOKUP(A163,ADM!$A$1:$R$343,14,0)</f>
        <v>CC du Pays de Lunel</v>
      </c>
      <c r="C163" s="19"/>
      <c r="D163" s="19"/>
      <c r="E163" s="19"/>
      <c r="F163" s="19"/>
      <c r="G163" s="19"/>
      <c r="H163" s="19"/>
      <c r="I163" s="19">
        <v>10</v>
      </c>
      <c r="J163" s="19"/>
      <c r="K163" s="19"/>
      <c r="L163" s="19"/>
      <c r="M163" s="19">
        <v>15</v>
      </c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x14ac:dyDescent="0.25">
      <c r="A164" s="18">
        <v>34295</v>
      </c>
      <c r="B164" s="96" t="str">
        <f>VLOOKUP(A164,ADM!$A$1:$R$343,14,0)</f>
        <v>Montpellier Méditerranée Métropole</v>
      </c>
      <c r="C164" s="19"/>
      <c r="D164" s="19"/>
      <c r="E164" s="19"/>
      <c r="F164" s="19"/>
      <c r="G164" s="19"/>
      <c r="H164" s="19"/>
      <c r="I164" s="19">
        <v>20</v>
      </c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>
        <v>12</v>
      </c>
      <c r="V164" s="19"/>
      <c r="W164" s="19"/>
      <c r="X164" s="19"/>
      <c r="Y164" s="19"/>
      <c r="Z164" s="19"/>
    </row>
    <row r="165" spans="1:26" x14ac:dyDescent="0.25">
      <c r="A165" s="18">
        <v>34298</v>
      </c>
      <c r="B165" s="96" t="str">
        <f>VLOOKUP(A165,ADM!$A$1:$R$343,14,0)</f>
        <v>CA de Béziers-Méditerranée</v>
      </c>
      <c r="C165" s="19"/>
      <c r="D165" s="19"/>
      <c r="E165" s="19"/>
      <c r="F165" s="19"/>
      <c r="G165" s="19"/>
      <c r="H165" s="19"/>
      <c r="I165" s="19">
        <v>80</v>
      </c>
      <c r="J165" s="19"/>
      <c r="K165" s="19"/>
      <c r="L165" s="19"/>
      <c r="M165" s="19"/>
      <c r="N165" s="19"/>
      <c r="O165" s="19"/>
      <c r="P165" s="19"/>
      <c r="Q165" s="19"/>
      <c r="R165" s="19">
        <v>15</v>
      </c>
      <c r="S165" s="19"/>
      <c r="T165" s="19"/>
      <c r="U165" s="19"/>
      <c r="V165" s="19"/>
      <c r="W165" s="19">
        <v>36</v>
      </c>
      <c r="X165" s="19"/>
      <c r="Y165" s="19">
        <v>73</v>
      </c>
      <c r="Z165" s="19"/>
    </row>
    <row r="166" spans="1:26" x14ac:dyDescent="0.25">
      <c r="A166" s="18">
        <v>34299</v>
      </c>
      <c r="B166" s="96" t="str">
        <f>VLOOKUP(A166,ADM!$A$1:$R$343,14,0)</f>
        <v>CA de Béziers-Méditerranée</v>
      </c>
      <c r="C166" s="19"/>
      <c r="D166" s="19"/>
      <c r="E166" s="19"/>
      <c r="F166" s="19"/>
      <c r="G166" s="19"/>
      <c r="H166" s="19"/>
      <c r="I166" s="19">
        <v>21</v>
      </c>
      <c r="J166" s="19"/>
      <c r="K166" s="19"/>
      <c r="L166" s="19"/>
      <c r="M166" s="19">
        <v>22</v>
      </c>
      <c r="N166" s="19"/>
      <c r="O166" s="19"/>
      <c r="P166" s="19"/>
      <c r="Q166" s="19"/>
      <c r="R166" s="19">
        <v>73</v>
      </c>
      <c r="S166" s="19"/>
      <c r="T166" s="19">
        <v>24</v>
      </c>
      <c r="U166" s="19">
        <v>66</v>
      </c>
      <c r="V166" s="19"/>
      <c r="W166" s="19">
        <v>44</v>
      </c>
      <c r="X166" s="19"/>
      <c r="Y166" s="19">
        <v>106</v>
      </c>
      <c r="Z166" s="19"/>
    </row>
    <row r="167" spans="1:26" x14ac:dyDescent="0.25">
      <c r="A167" s="18">
        <v>34300</v>
      </c>
      <c r="B167" s="96" t="str">
        <f>VLOOKUP(A167,ADM!$A$1:$R$343,14,0)</f>
        <v>CA de Béziers-Méditerranée</v>
      </c>
      <c r="C167" s="19"/>
      <c r="D167" s="19"/>
      <c r="E167" s="19"/>
      <c r="F167" s="19"/>
      <c r="G167" s="19"/>
      <c r="H167" s="19"/>
      <c r="I167" s="19">
        <v>79</v>
      </c>
      <c r="J167" s="19"/>
      <c r="K167" s="19"/>
      <c r="L167" s="19"/>
      <c r="M167" s="19">
        <v>71</v>
      </c>
      <c r="N167" s="19"/>
      <c r="O167" s="19"/>
      <c r="P167" s="19"/>
      <c r="Q167" s="19"/>
      <c r="R167" s="19">
        <v>30</v>
      </c>
      <c r="S167" s="19"/>
      <c r="T167" s="19"/>
      <c r="U167" s="19"/>
      <c r="V167" s="19"/>
      <c r="W167" s="19"/>
      <c r="X167" s="19"/>
      <c r="Y167" s="19">
        <v>27</v>
      </c>
      <c r="Z167" s="19"/>
    </row>
    <row r="168" spans="1:26" x14ac:dyDescent="0.25">
      <c r="A168" s="18">
        <v>34301</v>
      </c>
      <c r="B168" s="96" t="str">
        <f>VLOOKUP(A168,ADM!$A$1:$R$343,14,0)</f>
        <v>Sète Agglopôle Méditerranée</v>
      </c>
      <c r="C168" s="19"/>
      <c r="D168" s="19">
        <v>11</v>
      </c>
      <c r="E168" s="19"/>
      <c r="F168" s="19">
        <v>35</v>
      </c>
      <c r="G168" s="19"/>
      <c r="H168" s="19">
        <v>31</v>
      </c>
      <c r="I168" s="19">
        <v>61</v>
      </c>
      <c r="J168" s="19">
        <v>62</v>
      </c>
      <c r="K168" s="19"/>
      <c r="L168" s="19"/>
      <c r="M168" s="19">
        <v>647</v>
      </c>
      <c r="N168" s="19"/>
      <c r="O168" s="19">
        <v>91</v>
      </c>
      <c r="P168" s="19"/>
      <c r="Q168" s="19"/>
      <c r="R168" s="19"/>
      <c r="S168" s="19">
        <v>2972</v>
      </c>
      <c r="T168" s="19">
        <v>32</v>
      </c>
      <c r="U168" s="19">
        <v>25</v>
      </c>
      <c r="V168" s="19"/>
      <c r="W168" s="19">
        <v>71</v>
      </c>
      <c r="X168" s="19"/>
      <c r="Y168" s="19"/>
      <c r="Z168" s="19"/>
    </row>
    <row r="169" spans="1:26" x14ac:dyDescent="0.25">
      <c r="A169" s="18">
        <v>34307</v>
      </c>
      <c r="B169" s="96" t="str">
        <f>VLOOKUP(A169,ADM!$A$1:$R$343,14,0)</f>
        <v>Montpellier Méditerranée Métropole</v>
      </c>
      <c r="C169" s="19"/>
      <c r="D169" s="19"/>
      <c r="E169" s="19"/>
      <c r="F169" s="19"/>
      <c r="G169" s="19"/>
      <c r="H169" s="19"/>
      <c r="I169" s="19">
        <v>54</v>
      </c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>
        <v>4</v>
      </c>
      <c r="Z169" s="19"/>
    </row>
    <row r="170" spans="1:26" x14ac:dyDescent="0.25">
      <c r="A170" s="18">
        <v>34309</v>
      </c>
      <c r="B170" s="96" t="str">
        <f>VLOOKUP(A170,ADM!$A$1:$R$343,14,0)</f>
        <v>CC du Grand Pic Saint-Loup</v>
      </c>
      <c r="C170" s="19"/>
      <c r="D170" s="19"/>
      <c r="E170" s="19"/>
      <c r="F170" s="19"/>
      <c r="G170" s="19"/>
      <c r="H170" s="19">
        <v>27</v>
      </c>
      <c r="I170" s="19">
        <v>16</v>
      </c>
      <c r="J170" s="19"/>
      <c r="K170" s="19"/>
      <c r="L170" s="19"/>
      <c r="M170" s="19">
        <v>10</v>
      </c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x14ac:dyDescent="0.25">
      <c r="A171" s="18">
        <v>34310</v>
      </c>
      <c r="B171" s="96" t="str">
        <f>VLOOKUP(A171,ADM!$A$1:$R$343,14,0)</f>
        <v>CC les Avant-Monts</v>
      </c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>
        <v>31</v>
      </c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x14ac:dyDescent="0.25">
      <c r="A172" s="18">
        <v>34311</v>
      </c>
      <c r="B172" s="96" t="str">
        <f>VLOOKUP(A172,ADM!$A$1:$R$343,14,0)</f>
        <v>CA Hérault-Méditerranée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>
        <v>6</v>
      </c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>
        <v>14</v>
      </c>
      <c r="Z172" s="19"/>
    </row>
    <row r="173" spans="1:26" x14ac:dyDescent="0.25">
      <c r="A173" s="18">
        <v>34312</v>
      </c>
      <c r="B173" s="96" t="str">
        <f>VLOOKUP(A173,ADM!$A$1:$R$343,14,0)</f>
        <v>CC Grand Orb en Languedoc</v>
      </c>
      <c r="C173" s="19"/>
      <c r="D173" s="19"/>
      <c r="E173" s="19"/>
      <c r="F173" s="19"/>
      <c r="G173" s="19"/>
      <c r="H173" s="19"/>
      <c r="I173" s="19">
        <v>13</v>
      </c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x14ac:dyDescent="0.25">
      <c r="A174" s="18">
        <v>34320</v>
      </c>
      <c r="B174" s="96" t="str">
        <f>VLOOKUP(A174,ADM!$A$1:$R$343,14,0)</f>
        <v>CC du Grand Pic Saint-Loup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>
        <v>35</v>
      </c>
      <c r="N174" s="19"/>
      <c r="O174" s="19"/>
      <c r="P174" s="19"/>
      <c r="Q174" s="19"/>
      <c r="R174" s="19"/>
      <c r="S174" s="19"/>
      <c r="T174" s="19"/>
      <c r="U174" s="19">
        <v>31</v>
      </c>
      <c r="V174" s="19"/>
      <c r="W174" s="19"/>
      <c r="X174" s="19"/>
      <c r="Y174" s="19"/>
      <c r="Z174" s="19"/>
    </row>
    <row r="175" spans="1:26" x14ac:dyDescent="0.25">
      <c r="A175" s="18">
        <v>34321</v>
      </c>
      <c r="B175" s="96" t="str">
        <f>VLOOKUP(A175,ADM!$A$1:$R$343,14,0)</f>
        <v>CA du Pays de l'Or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>
        <v>9</v>
      </c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x14ac:dyDescent="0.25">
      <c r="A176" s="18">
        <v>34324</v>
      </c>
      <c r="B176" s="96" t="str">
        <f>VLOOKUP(A176,ADM!$A$1:$R$343,14,0)</f>
        <v>CA de Béziers-Méditerranée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>
        <v>43</v>
      </c>
      <c r="N176" s="19"/>
      <c r="O176" s="19"/>
      <c r="P176" s="19"/>
      <c r="Q176" s="19"/>
      <c r="R176" s="19">
        <v>10</v>
      </c>
      <c r="S176" s="19"/>
      <c r="T176" s="19"/>
      <c r="U176" s="19"/>
      <c r="V176" s="19"/>
      <c r="W176" s="19"/>
      <c r="X176" s="19"/>
      <c r="Y176" s="19"/>
      <c r="Z176" s="19"/>
    </row>
    <row r="177" spans="1:26" x14ac:dyDescent="0.25">
      <c r="A177" s="18">
        <v>34325</v>
      </c>
      <c r="B177" s="96" t="str">
        <f>VLOOKUP(A177,ADM!$A$1:$R$343,14,0)</f>
        <v>CA de Béziers-Méditerranée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>
        <v>22</v>
      </c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x14ac:dyDescent="0.25">
      <c r="A178" s="18">
        <v>34327</v>
      </c>
      <c r="B178" s="96" t="str">
        <f>VLOOKUP(A178,ADM!$A$1:$R$343,14,0)</f>
        <v>Montpellier Méditerranée Métropole</v>
      </c>
      <c r="C178" s="19">
        <v>66</v>
      </c>
      <c r="D178" s="19"/>
      <c r="E178" s="19"/>
      <c r="F178" s="19"/>
      <c r="G178" s="19"/>
      <c r="H178" s="19">
        <v>22</v>
      </c>
      <c r="I178" s="19">
        <v>256</v>
      </c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>
        <v>7</v>
      </c>
      <c r="V178" s="19"/>
      <c r="W178" s="19"/>
      <c r="X178" s="19"/>
      <c r="Y178" s="19"/>
      <c r="Z178" s="19"/>
    </row>
    <row r="179" spans="1:26" x14ac:dyDescent="0.25">
      <c r="A179" s="18">
        <v>34328</v>
      </c>
      <c r="B179" s="96" t="str">
        <f>VLOOKUP(A179,ADM!$A$1:$R$343,14,0)</f>
        <v>CC Vallée de l'hérault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>
        <v>3</v>
      </c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x14ac:dyDescent="0.25">
      <c r="A180" s="18">
        <v>34329</v>
      </c>
      <c r="B180" s="96" t="str">
        <f>VLOOKUP(A180,ADM!$A$1:$R$343,14,0)</f>
        <v>CC la Domitienne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>
        <v>32</v>
      </c>
      <c r="N180" s="19">
        <v>10</v>
      </c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x14ac:dyDescent="0.25">
      <c r="A181" s="18">
        <v>34332</v>
      </c>
      <c r="B181" s="96" t="str">
        <f>VLOOKUP(A181,ADM!$A$1:$R$343,14,0)</f>
        <v>CA Hérault-Méditerranée</v>
      </c>
      <c r="C181" s="19"/>
      <c r="D181" s="19"/>
      <c r="E181" s="19"/>
      <c r="F181" s="19"/>
      <c r="G181" s="19"/>
      <c r="H181" s="19"/>
      <c r="I181" s="19">
        <v>20</v>
      </c>
      <c r="J181" s="19"/>
      <c r="K181" s="19"/>
      <c r="L181" s="19"/>
      <c r="M181" s="19">
        <v>25</v>
      </c>
      <c r="N181" s="19"/>
      <c r="O181" s="19"/>
      <c r="P181" s="19"/>
      <c r="Q181" s="19"/>
      <c r="R181" s="19"/>
      <c r="S181" s="19">
        <v>72</v>
      </c>
      <c r="T181" s="19"/>
      <c r="U181" s="19">
        <v>36</v>
      </c>
      <c r="V181" s="19"/>
      <c r="W181" s="19">
        <v>46</v>
      </c>
      <c r="X181" s="19"/>
      <c r="Y181" s="19"/>
      <c r="Z181" s="19"/>
    </row>
    <row r="182" spans="1:26" x14ac:dyDescent="0.25">
      <c r="A182" s="18">
        <v>34335</v>
      </c>
      <c r="B182" s="96" t="str">
        <f>VLOOKUP(A182,ADM!$A$1:$R$343,14,0)</f>
        <v>CC Grand Orb en Languedoc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>
        <v>2</v>
      </c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x14ac:dyDescent="0.25">
      <c r="A183" s="18">
        <v>34336</v>
      </c>
      <c r="B183" s="96" t="str">
        <f>VLOOKUP(A183,ADM!$A$1:$R$343,14,0)</f>
        <v>CA de Béziers-Méditerranée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>
        <v>10</v>
      </c>
      <c r="S183" s="19"/>
      <c r="T183" s="19">
        <v>14</v>
      </c>
      <c r="U183" s="19">
        <v>32</v>
      </c>
      <c r="V183" s="19"/>
      <c r="W183" s="19">
        <v>37</v>
      </c>
      <c r="X183" s="19"/>
      <c r="Y183" s="19"/>
      <c r="Z183" s="19"/>
    </row>
    <row r="184" spans="1:26" x14ac:dyDescent="0.25">
      <c r="A184" s="18">
        <v>34337</v>
      </c>
      <c r="B184" s="96" t="str">
        <f>VLOOKUP(A184,ADM!$A$1:$R$343,14,0)</f>
        <v>Montpellier Méditerranée Métropole</v>
      </c>
      <c r="C184" s="19">
        <v>74</v>
      </c>
      <c r="D184" s="19"/>
      <c r="E184" s="19"/>
      <c r="F184" s="19"/>
      <c r="G184" s="19"/>
      <c r="H184" s="19">
        <v>123</v>
      </c>
      <c r="I184" s="19">
        <v>49</v>
      </c>
      <c r="J184" s="19"/>
      <c r="K184" s="19"/>
      <c r="L184" s="19"/>
      <c r="M184" s="19">
        <v>158</v>
      </c>
      <c r="N184" s="19"/>
      <c r="O184" s="19"/>
      <c r="P184" s="19"/>
      <c r="Q184" s="19"/>
      <c r="R184" s="19"/>
      <c r="S184" s="19"/>
      <c r="T184" s="19"/>
      <c r="U184" s="19">
        <v>84</v>
      </c>
      <c r="V184" s="19"/>
      <c r="W184" s="19"/>
      <c r="X184" s="19"/>
      <c r="Y184" s="19"/>
      <c r="Z184" s="19"/>
    </row>
    <row r="185" spans="1:26" x14ac:dyDescent="0.25">
      <c r="A185" s="18">
        <v>34341</v>
      </c>
      <c r="B185" s="96" t="str">
        <f>VLOOKUP(A185,ADM!$A$1:$R$343,14,0)</f>
        <v>Sète Agglopôle Méditerranée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>
        <v>6</v>
      </c>
      <c r="N185" s="19"/>
      <c r="O185" s="19"/>
      <c r="P185" s="19"/>
      <c r="Q185" s="19"/>
      <c r="R185" s="19"/>
      <c r="S185" s="19">
        <v>7</v>
      </c>
      <c r="T185" s="19"/>
      <c r="U185" s="19"/>
      <c r="V185" s="19"/>
      <c r="W185" s="19"/>
      <c r="X185" s="19"/>
      <c r="Y185" s="19"/>
      <c r="Z185" s="19"/>
    </row>
    <row r="186" spans="1:26" x14ac:dyDescent="0.25">
      <c r="A186" s="18">
        <v>34343</v>
      </c>
      <c r="B186" s="96" t="str">
        <f>VLOOKUP(A186,ADM!$A$1:$R$343,14,0)</f>
        <v>CC du Grand Pic Saint-Loup</v>
      </c>
      <c r="C186" s="19"/>
      <c r="D186" s="19"/>
      <c r="E186" s="19"/>
      <c r="F186" s="19"/>
      <c r="G186" s="19"/>
      <c r="H186" s="19"/>
      <c r="I186" s="19">
        <v>26</v>
      </c>
      <c r="J186" s="19"/>
      <c r="K186" s="19"/>
      <c r="L186" s="19"/>
      <c r="M186" s="19">
        <v>4</v>
      </c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x14ac:dyDescent="0.25">
      <c r="A187" s="18">
        <v>34344</v>
      </c>
      <c r="B187" s="96" t="str">
        <f>VLOOKUP(A187,ADM!$A$1:$R$343,14,0)</f>
        <v>CA du Pays de l'Or</v>
      </c>
      <c r="C187" s="19"/>
      <c r="D187" s="19"/>
      <c r="E187" s="19"/>
      <c r="F187" s="19"/>
      <c r="G187" s="19"/>
      <c r="H187" s="19"/>
      <c r="I187" s="19">
        <v>126</v>
      </c>
      <c r="J187" s="19"/>
      <c r="K187" s="19"/>
      <c r="L187" s="19"/>
      <c r="M187" s="19">
        <v>85</v>
      </c>
      <c r="N187" s="19"/>
      <c r="O187" s="19"/>
      <c r="P187" s="19"/>
      <c r="Q187" s="19"/>
      <c r="R187" s="19"/>
      <c r="S187" s="19"/>
      <c r="T187" s="19"/>
      <c r="U187" s="19">
        <v>6</v>
      </c>
      <c r="V187" s="19"/>
      <c r="W187" s="19"/>
      <c r="X187" s="19"/>
      <c r="Y187" s="19"/>
      <c r="Z187" s="19"/>
    </row>
    <row r="188" spans="1:26" x14ac:dyDescent="0.25">
      <c r="A188" s="20" t="s">
        <v>1182</v>
      </c>
      <c r="B188" s="96" t="e">
        <f>VLOOKUP(A188,ADM!$A$1:$R$343,14,0)</f>
        <v>#N/A</v>
      </c>
      <c r="C188" s="21">
        <v>23420</v>
      </c>
      <c r="D188" s="21">
        <v>32</v>
      </c>
      <c r="E188" s="21">
        <v>34</v>
      </c>
      <c r="F188" s="21">
        <v>2651</v>
      </c>
      <c r="G188" s="21">
        <v>39</v>
      </c>
      <c r="H188" s="21">
        <v>3205</v>
      </c>
      <c r="I188" s="21">
        <v>5911</v>
      </c>
      <c r="J188" s="21">
        <v>336</v>
      </c>
      <c r="K188" s="21">
        <v>28</v>
      </c>
      <c r="L188" s="21">
        <v>45</v>
      </c>
      <c r="M188" s="21">
        <v>12959</v>
      </c>
      <c r="N188" s="21">
        <v>10</v>
      </c>
      <c r="O188" s="21">
        <v>1114</v>
      </c>
      <c r="P188" s="21">
        <v>991</v>
      </c>
      <c r="Q188" s="21">
        <v>181</v>
      </c>
      <c r="R188" s="21">
        <v>6587</v>
      </c>
      <c r="S188" s="21">
        <v>3300</v>
      </c>
      <c r="T188" s="21">
        <v>275</v>
      </c>
      <c r="U188" s="21">
        <v>2690</v>
      </c>
      <c r="V188" s="21">
        <v>142</v>
      </c>
      <c r="W188" s="21">
        <v>2129</v>
      </c>
      <c r="X188" s="21">
        <v>4</v>
      </c>
      <c r="Y188" s="21">
        <v>1500</v>
      </c>
      <c r="Z188" s="21">
        <v>85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22"/>
  <sheetViews>
    <sheetView workbookViewId="0">
      <selection activeCell="M3" sqref="M3"/>
    </sheetView>
  </sheetViews>
  <sheetFormatPr baseColWidth="10" defaultRowHeight="15" x14ac:dyDescent="0.25"/>
  <cols>
    <col min="1" max="1" width="54.7109375" customWidth="1"/>
    <col min="2" max="2" width="14.140625" bestFit="1" customWidth="1"/>
    <col min="3" max="3" width="17" customWidth="1"/>
    <col min="4" max="4" width="20.140625" customWidth="1"/>
    <col min="5" max="5" width="25.42578125" customWidth="1"/>
    <col min="6" max="6" width="48.42578125" customWidth="1"/>
    <col min="7" max="7" width="15.28515625" customWidth="1"/>
    <col min="8" max="9" width="19.5703125" customWidth="1"/>
    <col min="10" max="10" width="20.140625" customWidth="1"/>
    <col min="11" max="11" width="29.28515625" customWidth="1"/>
    <col min="12" max="12" width="25.28515625" customWidth="1"/>
    <col min="13" max="13" width="19" customWidth="1"/>
    <col min="14" max="14" width="12.5703125" customWidth="1"/>
    <col min="15" max="15" width="63.85546875" customWidth="1"/>
    <col min="16" max="16" width="22.28515625" customWidth="1"/>
    <col min="17" max="17" width="29.85546875" customWidth="1"/>
    <col min="18" max="18" width="18" customWidth="1"/>
    <col min="19" max="19" width="36.42578125" customWidth="1"/>
    <col min="20" max="20" width="21.85546875" customWidth="1"/>
    <col min="21" max="21" width="33.42578125" customWidth="1"/>
    <col min="22" max="22" width="14.140625" customWidth="1"/>
    <col min="23" max="23" width="15.140625" customWidth="1"/>
    <col min="24" max="24" width="24.7109375" customWidth="1"/>
    <col min="25" max="25" width="17.140625" customWidth="1"/>
  </cols>
  <sheetData>
    <row r="3" spans="1:25" x14ac:dyDescent="0.25">
      <c r="A3" s="104" t="s">
        <v>1158</v>
      </c>
      <c r="B3" s="85" t="s">
        <v>1316</v>
      </c>
      <c r="C3" s="85" t="s">
        <v>1317</v>
      </c>
      <c r="D3" s="85" t="s">
        <v>1318</v>
      </c>
      <c r="E3" s="85" t="s">
        <v>1319</v>
      </c>
      <c r="F3" s="85" t="s">
        <v>1320</v>
      </c>
      <c r="G3" s="85" t="s">
        <v>1321</v>
      </c>
      <c r="H3" s="85" t="s">
        <v>1322</v>
      </c>
      <c r="I3" s="85" t="s">
        <v>1323</v>
      </c>
      <c r="J3" s="85" t="s">
        <v>1324</v>
      </c>
      <c r="K3" s="85" t="s">
        <v>1325</v>
      </c>
      <c r="L3" s="85" t="s">
        <v>1327</v>
      </c>
      <c r="M3" s="85" t="s">
        <v>1326</v>
      </c>
      <c r="N3" s="85" t="s">
        <v>1328</v>
      </c>
      <c r="O3" s="85" t="s">
        <v>1338</v>
      </c>
      <c r="P3" s="85" t="s">
        <v>1339</v>
      </c>
      <c r="Q3" s="85" t="s">
        <v>1337</v>
      </c>
      <c r="R3" s="85" t="s">
        <v>1336</v>
      </c>
      <c r="S3" s="85" t="s">
        <v>1335</v>
      </c>
      <c r="T3" s="85" t="s">
        <v>1334</v>
      </c>
      <c r="U3" s="85" t="s">
        <v>1333</v>
      </c>
      <c r="V3" s="85" t="s">
        <v>1332</v>
      </c>
      <c r="W3" s="85" t="s">
        <v>1331</v>
      </c>
      <c r="X3" s="85" t="s">
        <v>1330</v>
      </c>
      <c r="Y3" s="85" t="s">
        <v>1329</v>
      </c>
    </row>
    <row r="4" spans="1:25" x14ac:dyDescent="0.25">
      <c r="A4" s="96" t="s">
        <v>171</v>
      </c>
      <c r="B4" s="97"/>
      <c r="C4" s="97"/>
      <c r="D4" s="97"/>
      <c r="E4" s="97"/>
      <c r="F4" s="97"/>
      <c r="G4" s="97">
        <v>65</v>
      </c>
      <c r="H4" s="97">
        <v>423</v>
      </c>
      <c r="I4" s="97">
        <v>32</v>
      </c>
      <c r="J4" s="97">
        <v>28</v>
      </c>
      <c r="K4" s="97">
        <v>9</v>
      </c>
      <c r="L4" s="97">
        <v>332</v>
      </c>
      <c r="M4" s="97"/>
      <c r="N4" s="97">
        <v>212</v>
      </c>
      <c r="O4" s="97">
        <v>45</v>
      </c>
      <c r="P4" s="97">
        <v>92</v>
      </c>
      <c r="Q4" s="97">
        <v>6571</v>
      </c>
      <c r="R4" s="97"/>
      <c r="S4" s="97">
        <v>136</v>
      </c>
      <c r="T4" s="97">
        <v>222</v>
      </c>
      <c r="U4" s="97"/>
      <c r="V4" s="97">
        <v>247</v>
      </c>
      <c r="W4" s="97"/>
      <c r="X4" s="97">
        <v>269</v>
      </c>
      <c r="Y4" s="97"/>
    </row>
    <row r="5" spans="1:25" ht="14.45" x14ac:dyDescent="0.35">
      <c r="A5" s="96" t="s">
        <v>322</v>
      </c>
      <c r="B5" s="97">
        <v>76</v>
      </c>
      <c r="C5" s="97"/>
      <c r="D5" s="97"/>
      <c r="E5" s="97">
        <v>160</v>
      </c>
      <c r="F5" s="97"/>
      <c r="G5" s="97"/>
      <c r="H5" s="97">
        <v>298</v>
      </c>
      <c r="I5" s="97"/>
      <c r="J5" s="97"/>
      <c r="K5" s="97"/>
      <c r="L5" s="97">
        <v>234</v>
      </c>
      <c r="M5" s="97"/>
      <c r="N5" s="97"/>
      <c r="O5" s="97">
        <v>28</v>
      </c>
      <c r="P5" s="97">
        <v>89</v>
      </c>
      <c r="Q5" s="97"/>
      <c r="R5" s="97"/>
      <c r="S5" s="97">
        <v>12</v>
      </c>
      <c r="T5" s="97">
        <v>133</v>
      </c>
      <c r="U5" s="97"/>
      <c r="V5" s="97">
        <v>18</v>
      </c>
      <c r="W5" s="97"/>
      <c r="X5" s="97">
        <v>236</v>
      </c>
      <c r="Y5" s="97"/>
    </row>
    <row r="6" spans="1:25" x14ac:dyDescent="0.25">
      <c r="A6" s="96" t="s">
        <v>125</v>
      </c>
      <c r="B6" s="97"/>
      <c r="C6" s="97"/>
      <c r="D6" s="97"/>
      <c r="E6" s="97"/>
      <c r="F6" s="97"/>
      <c r="G6" s="97">
        <v>40</v>
      </c>
      <c r="H6" s="97">
        <v>848</v>
      </c>
      <c r="I6" s="97"/>
      <c r="J6" s="97"/>
      <c r="K6" s="97">
        <v>3</v>
      </c>
      <c r="L6" s="97">
        <v>1397</v>
      </c>
      <c r="M6" s="97"/>
      <c r="N6" s="97"/>
      <c r="O6" s="97">
        <v>57</v>
      </c>
      <c r="P6" s="97"/>
      <c r="Q6" s="97">
        <v>5</v>
      </c>
      <c r="R6" s="97">
        <v>191</v>
      </c>
      <c r="S6" s="97"/>
      <c r="T6" s="97">
        <v>186</v>
      </c>
      <c r="U6" s="97"/>
      <c r="V6" s="97">
        <v>286</v>
      </c>
      <c r="W6" s="97">
        <v>4</v>
      </c>
      <c r="X6" s="97">
        <v>56</v>
      </c>
      <c r="Y6" s="97"/>
    </row>
    <row r="7" spans="1:25" x14ac:dyDescent="0.25">
      <c r="A7" s="96" t="s">
        <v>154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>
        <v>260</v>
      </c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</row>
    <row r="8" spans="1:25" ht="14.45" x14ac:dyDescent="0.35">
      <c r="A8" s="96" t="s">
        <v>311</v>
      </c>
      <c r="B8" s="97"/>
      <c r="C8" s="97"/>
      <c r="D8" s="97"/>
      <c r="E8" s="97"/>
      <c r="F8" s="97"/>
      <c r="G8" s="97"/>
      <c r="H8" s="97">
        <v>7</v>
      </c>
      <c r="I8" s="97"/>
      <c r="J8" s="97"/>
      <c r="K8" s="97"/>
      <c r="L8" s="97">
        <v>32</v>
      </c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</row>
    <row r="9" spans="1:25" ht="14.45" x14ac:dyDescent="0.35">
      <c r="A9" s="96" t="s">
        <v>189</v>
      </c>
      <c r="B9" s="97"/>
      <c r="C9" s="97"/>
      <c r="D9" s="97"/>
      <c r="E9" s="97"/>
      <c r="F9" s="97"/>
      <c r="G9" s="97">
        <v>90</v>
      </c>
      <c r="H9" s="97">
        <v>163</v>
      </c>
      <c r="I9" s="97"/>
      <c r="J9" s="97"/>
      <c r="K9" s="97"/>
      <c r="L9" s="97">
        <v>648</v>
      </c>
      <c r="M9" s="97"/>
      <c r="N9" s="97"/>
      <c r="O9" s="97"/>
      <c r="P9" s="97"/>
      <c r="Q9" s="97"/>
      <c r="R9" s="97"/>
      <c r="S9" s="97"/>
      <c r="T9" s="97">
        <v>89</v>
      </c>
      <c r="U9" s="97"/>
      <c r="V9" s="97">
        <v>13</v>
      </c>
      <c r="W9" s="97"/>
      <c r="X9" s="97"/>
      <c r="Y9" s="97"/>
    </row>
    <row r="10" spans="1:25" ht="14.45" x14ac:dyDescent="0.35">
      <c r="A10" s="96" t="s">
        <v>194</v>
      </c>
      <c r="B10" s="97"/>
      <c r="C10" s="97"/>
      <c r="D10" s="97"/>
      <c r="E10" s="97">
        <v>57</v>
      </c>
      <c r="F10" s="97"/>
      <c r="G10" s="97">
        <v>35</v>
      </c>
      <c r="H10" s="97">
        <v>196</v>
      </c>
      <c r="I10" s="97"/>
      <c r="J10" s="97"/>
      <c r="K10" s="97"/>
      <c r="L10" s="97">
        <v>424</v>
      </c>
      <c r="M10" s="97"/>
      <c r="N10" s="97"/>
      <c r="O10" s="97"/>
      <c r="P10" s="97"/>
      <c r="Q10" s="97"/>
      <c r="R10" s="97"/>
      <c r="S10" s="97"/>
      <c r="T10" s="97">
        <v>58</v>
      </c>
      <c r="U10" s="97"/>
      <c r="V10" s="97">
        <v>9</v>
      </c>
      <c r="W10" s="97"/>
      <c r="X10" s="97">
        <v>46</v>
      </c>
      <c r="Y10" s="97"/>
    </row>
    <row r="11" spans="1:25" ht="14.45" x14ac:dyDescent="0.35">
      <c r="A11" s="96" t="s">
        <v>143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>
        <v>178</v>
      </c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</row>
    <row r="12" spans="1:25" ht="14.45" x14ac:dyDescent="0.35">
      <c r="A12" s="96" t="s">
        <v>277</v>
      </c>
      <c r="B12" s="97">
        <v>694</v>
      </c>
      <c r="C12" s="97"/>
      <c r="D12" s="97"/>
      <c r="E12" s="97">
        <v>30</v>
      </c>
      <c r="F12" s="97"/>
      <c r="G12" s="97">
        <v>223</v>
      </c>
      <c r="H12" s="97">
        <v>406</v>
      </c>
      <c r="I12" s="97"/>
      <c r="J12" s="97"/>
      <c r="K12" s="97"/>
      <c r="L12" s="97">
        <v>570</v>
      </c>
      <c r="M12" s="97"/>
      <c r="N12" s="97">
        <v>43</v>
      </c>
      <c r="O12" s="97">
        <v>72</v>
      </c>
      <c r="P12" s="97"/>
      <c r="Q12" s="97"/>
      <c r="R12" s="97"/>
      <c r="S12" s="97"/>
      <c r="T12" s="97">
        <v>110</v>
      </c>
      <c r="U12" s="97"/>
      <c r="V12" s="97"/>
      <c r="W12" s="97"/>
      <c r="X12" s="97">
        <v>138</v>
      </c>
      <c r="Y12" s="97">
        <v>85</v>
      </c>
    </row>
    <row r="13" spans="1:25" ht="14.45" x14ac:dyDescent="0.35">
      <c r="A13" s="96" t="s">
        <v>167</v>
      </c>
      <c r="B13" s="97"/>
      <c r="C13" s="97"/>
      <c r="D13" s="97"/>
      <c r="E13" s="97"/>
      <c r="F13" s="97"/>
      <c r="G13" s="97"/>
      <c r="H13" s="97">
        <v>92</v>
      </c>
      <c r="I13" s="97"/>
      <c r="J13" s="97"/>
      <c r="K13" s="97"/>
      <c r="L13" s="97">
        <v>327</v>
      </c>
      <c r="M13" s="97"/>
      <c r="N13" s="97"/>
      <c r="O13" s="97">
        <v>56</v>
      </c>
      <c r="P13" s="97"/>
      <c r="Q13" s="97"/>
      <c r="R13" s="97"/>
      <c r="S13" s="97"/>
      <c r="T13" s="97"/>
      <c r="U13" s="97"/>
      <c r="V13" s="97"/>
      <c r="W13" s="97"/>
      <c r="X13" s="97"/>
      <c r="Y13" s="97"/>
    </row>
    <row r="14" spans="1:25" ht="14.45" x14ac:dyDescent="0.35">
      <c r="A14" s="96" t="s">
        <v>377</v>
      </c>
      <c r="B14" s="97"/>
      <c r="C14" s="97"/>
      <c r="D14" s="97"/>
      <c r="E14" s="97"/>
      <c r="F14" s="97"/>
      <c r="G14" s="97"/>
      <c r="H14" s="97">
        <v>214</v>
      </c>
      <c r="I14" s="97"/>
      <c r="J14" s="97"/>
      <c r="K14" s="97"/>
      <c r="L14" s="97">
        <v>254</v>
      </c>
      <c r="M14" s="97">
        <v>10</v>
      </c>
      <c r="N14" s="97"/>
      <c r="O14" s="97"/>
      <c r="P14" s="97"/>
      <c r="Q14" s="97">
        <v>11</v>
      </c>
      <c r="R14" s="97"/>
      <c r="S14" s="97"/>
      <c r="T14" s="97"/>
      <c r="U14" s="97"/>
      <c r="V14" s="97">
        <v>20</v>
      </c>
      <c r="W14" s="97"/>
      <c r="X14" s="97">
        <v>56</v>
      </c>
      <c r="Y14" s="97"/>
    </row>
    <row r="15" spans="1:25" ht="14.45" x14ac:dyDescent="0.35">
      <c r="A15" s="96" t="s">
        <v>108</v>
      </c>
      <c r="B15" s="97"/>
      <c r="C15" s="97"/>
      <c r="D15" s="97"/>
      <c r="E15" s="97"/>
      <c r="F15" s="97"/>
      <c r="G15" s="97"/>
      <c r="H15" s="97">
        <v>62</v>
      </c>
      <c r="I15" s="97"/>
      <c r="J15" s="97"/>
      <c r="K15" s="97"/>
      <c r="L15" s="97">
        <v>248</v>
      </c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</row>
    <row r="16" spans="1:25" x14ac:dyDescent="0.25">
      <c r="A16" s="96" t="s">
        <v>284</v>
      </c>
      <c r="B16" s="97"/>
      <c r="C16" s="97"/>
      <c r="D16" s="97"/>
      <c r="E16" s="97"/>
      <c r="F16" s="97"/>
      <c r="G16" s="97">
        <v>228</v>
      </c>
      <c r="H16" s="97">
        <v>4</v>
      </c>
      <c r="I16" s="97"/>
      <c r="J16" s="97"/>
      <c r="K16" s="97"/>
      <c r="L16" s="97">
        <v>282</v>
      </c>
      <c r="M16" s="97"/>
      <c r="N16" s="97"/>
      <c r="O16" s="97">
        <v>26</v>
      </c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1:25" x14ac:dyDescent="0.25">
      <c r="A17" s="96" t="s">
        <v>198</v>
      </c>
      <c r="B17" s="97"/>
      <c r="C17" s="97"/>
      <c r="D17" s="97"/>
      <c r="E17" s="97"/>
      <c r="F17" s="97"/>
      <c r="G17" s="97"/>
      <c r="H17" s="97">
        <v>48</v>
      </c>
      <c r="I17" s="97"/>
      <c r="J17" s="97"/>
      <c r="K17" s="97"/>
      <c r="L17" s="97">
        <v>135</v>
      </c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</row>
    <row r="18" spans="1:25" x14ac:dyDescent="0.25">
      <c r="A18" s="96" t="s">
        <v>178</v>
      </c>
      <c r="B18" s="97"/>
      <c r="C18" s="97"/>
      <c r="D18" s="97"/>
      <c r="E18" s="97"/>
      <c r="F18" s="97"/>
      <c r="G18" s="97"/>
      <c r="H18" s="97">
        <v>122</v>
      </c>
      <c r="I18" s="97"/>
      <c r="J18" s="97"/>
      <c r="K18" s="97"/>
      <c r="L18" s="97">
        <v>567</v>
      </c>
      <c r="M18" s="97"/>
      <c r="N18" s="97">
        <v>12</v>
      </c>
      <c r="O18" s="97"/>
      <c r="P18" s="97"/>
      <c r="Q18" s="97"/>
      <c r="R18" s="97"/>
      <c r="S18" s="97"/>
      <c r="T18" s="97"/>
      <c r="U18" s="97"/>
      <c r="V18" s="97">
        <v>24</v>
      </c>
      <c r="W18" s="97"/>
      <c r="X18" s="97"/>
      <c r="Y18" s="97"/>
    </row>
    <row r="19" spans="1:25" x14ac:dyDescent="0.25">
      <c r="A19" s="96" t="s">
        <v>220</v>
      </c>
      <c r="B19" s="97">
        <v>22650</v>
      </c>
      <c r="C19" s="97">
        <v>21</v>
      </c>
      <c r="D19" s="97">
        <v>34</v>
      </c>
      <c r="E19" s="97">
        <v>2331</v>
      </c>
      <c r="F19" s="97">
        <v>39</v>
      </c>
      <c r="G19" s="97">
        <v>2192</v>
      </c>
      <c r="H19" s="97">
        <v>2643</v>
      </c>
      <c r="I19" s="97">
        <v>242</v>
      </c>
      <c r="J19" s="97"/>
      <c r="K19" s="97">
        <v>33</v>
      </c>
      <c r="L19" s="97">
        <v>4170</v>
      </c>
      <c r="M19" s="97"/>
      <c r="N19" s="97">
        <v>756</v>
      </c>
      <c r="O19" s="97">
        <v>581</v>
      </c>
      <c r="P19" s="97"/>
      <c r="Q19" s="97"/>
      <c r="R19" s="97"/>
      <c r="S19" s="97">
        <v>35</v>
      </c>
      <c r="T19" s="97">
        <v>1648</v>
      </c>
      <c r="U19" s="97">
        <v>142</v>
      </c>
      <c r="V19" s="97">
        <v>1264</v>
      </c>
      <c r="W19" s="97"/>
      <c r="X19" s="97">
        <v>632</v>
      </c>
      <c r="Y19" s="97"/>
    </row>
    <row r="20" spans="1:25" x14ac:dyDescent="0.25">
      <c r="A20" s="96" t="s">
        <v>230</v>
      </c>
      <c r="B20" s="97"/>
      <c r="C20" s="97">
        <v>11</v>
      </c>
      <c r="D20" s="97"/>
      <c r="E20" s="97">
        <v>73</v>
      </c>
      <c r="F20" s="97"/>
      <c r="G20" s="97">
        <v>332</v>
      </c>
      <c r="H20" s="97">
        <v>385</v>
      </c>
      <c r="I20" s="97">
        <v>62</v>
      </c>
      <c r="J20" s="97"/>
      <c r="K20" s="97"/>
      <c r="L20" s="97">
        <v>2901</v>
      </c>
      <c r="M20" s="97"/>
      <c r="N20" s="97">
        <v>91</v>
      </c>
      <c r="O20" s="97">
        <v>126</v>
      </c>
      <c r="P20" s="97"/>
      <c r="Q20" s="97"/>
      <c r="R20" s="97">
        <v>3109</v>
      </c>
      <c r="S20" s="97">
        <v>92</v>
      </c>
      <c r="T20" s="97">
        <v>244</v>
      </c>
      <c r="U20" s="97"/>
      <c r="V20" s="97">
        <v>248</v>
      </c>
      <c r="W20" s="97"/>
      <c r="X20" s="97">
        <v>67</v>
      </c>
      <c r="Y20" s="97"/>
    </row>
    <row r="21" spans="1:25" x14ac:dyDescent="0.25">
      <c r="A21" s="96" t="s">
        <v>1315</v>
      </c>
      <c r="B21" s="97">
        <v>23420</v>
      </c>
      <c r="C21" s="97">
        <v>32</v>
      </c>
      <c r="D21" s="97">
        <v>34</v>
      </c>
      <c r="E21" s="97">
        <v>2651</v>
      </c>
      <c r="F21" s="97">
        <v>39</v>
      </c>
      <c r="G21" s="97">
        <v>3205</v>
      </c>
      <c r="H21" s="97">
        <v>5911</v>
      </c>
      <c r="I21" s="97">
        <v>336</v>
      </c>
      <c r="J21" s="97">
        <v>28</v>
      </c>
      <c r="K21" s="97">
        <v>45</v>
      </c>
      <c r="L21" s="97">
        <v>12959</v>
      </c>
      <c r="M21" s="97">
        <v>10</v>
      </c>
      <c r="N21" s="97">
        <v>1114</v>
      </c>
      <c r="O21" s="97">
        <v>991</v>
      </c>
      <c r="P21" s="97">
        <v>181</v>
      </c>
      <c r="Q21" s="97">
        <v>6587</v>
      </c>
      <c r="R21" s="97">
        <v>3300</v>
      </c>
      <c r="S21" s="97">
        <v>275</v>
      </c>
      <c r="T21" s="97">
        <v>2690</v>
      </c>
      <c r="U21" s="97">
        <v>142</v>
      </c>
      <c r="V21" s="97">
        <v>2129</v>
      </c>
      <c r="W21" s="97">
        <v>4</v>
      </c>
      <c r="X21" s="97">
        <v>1500</v>
      </c>
      <c r="Y21" s="97">
        <v>85</v>
      </c>
    </row>
    <row r="22" spans="1:25" x14ac:dyDescent="0.25">
      <c r="A22" s="96" t="s">
        <v>1182</v>
      </c>
      <c r="B22" s="97">
        <v>46840</v>
      </c>
      <c r="C22" s="97">
        <v>64</v>
      </c>
      <c r="D22" s="97">
        <v>68</v>
      </c>
      <c r="E22" s="97">
        <v>5302</v>
      </c>
      <c r="F22" s="97">
        <v>78</v>
      </c>
      <c r="G22" s="97">
        <v>6410</v>
      </c>
      <c r="H22" s="97">
        <v>11822</v>
      </c>
      <c r="I22" s="97">
        <v>672</v>
      </c>
      <c r="J22" s="97">
        <v>56</v>
      </c>
      <c r="K22" s="97">
        <v>90</v>
      </c>
      <c r="L22" s="97">
        <v>25918</v>
      </c>
      <c r="M22" s="97">
        <v>20</v>
      </c>
      <c r="N22" s="97">
        <v>2228</v>
      </c>
      <c r="O22" s="97">
        <v>1982</v>
      </c>
      <c r="P22" s="97">
        <v>362</v>
      </c>
      <c r="Q22" s="97">
        <v>13174</v>
      </c>
      <c r="R22" s="97">
        <v>6600</v>
      </c>
      <c r="S22" s="97">
        <v>550</v>
      </c>
      <c r="T22" s="97">
        <v>5380</v>
      </c>
      <c r="U22" s="97">
        <v>284</v>
      </c>
      <c r="V22" s="97">
        <v>4258</v>
      </c>
      <c r="W22" s="97">
        <v>8</v>
      </c>
      <c r="X22" s="97">
        <v>3000</v>
      </c>
      <c r="Y22" s="97">
        <v>170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5"/>
  <sheetViews>
    <sheetView workbookViewId="0">
      <pane ySplit="2" topLeftCell="A3" activePane="bottomLeft" state="frozen"/>
      <selection activeCell="M3" sqref="M3"/>
      <selection pane="bottomLeft" activeCell="M3" sqref="M3"/>
    </sheetView>
  </sheetViews>
  <sheetFormatPr baseColWidth="10" defaultRowHeight="15" x14ac:dyDescent="0.25"/>
  <cols>
    <col min="2" max="2" width="10.85546875" style="85"/>
    <col min="4" max="4" width="11.42578125" style="8"/>
    <col min="6" max="8" width="11.42578125" style="5"/>
    <col min="9" max="9" width="11.42578125" style="8"/>
  </cols>
  <sheetData>
    <row r="1" spans="1:36" ht="14.45" x14ac:dyDescent="0.35">
      <c r="A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</row>
    <row r="2" spans="1:36" ht="43.5" x14ac:dyDescent="0.35">
      <c r="A2" t="s">
        <v>0</v>
      </c>
      <c r="B2" s="85" t="s">
        <v>11</v>
      </c>
      <c r="C2" t="s">
        <v>1</v>
      </c>
      <c r="D2" s="7" t="s">
        <v>72</v>
      </c>
      <c r="E2" s="3" t="s">
        <v>73</v>
      </c>
      <c r="F2" s="6" t="s">
        <v>74</v>
      </c>
      <c r="G2" s="6" t="s">
        <v>75</v>
      </c>
      <c r="H2" s="6" t="s">
        <v>76</v>
      </c>
      <c r="I2" s="7" t="s">
        <v>77</v>
      </c>
      <c r="J2" s="3" t="s">
        <v>78</v>
      </c>
      <c r="K2" s="3" t="s">
        <v>79</v>
      </c>
      <c r="L2" s="3" t="s">
        <v>80</v>
      </c>
      <c r="M2" s="3" t="s">
        <v>81</v>
      </c>
      <c r="N2" s="3" t="s">
        <v>82</v>
      </c>
      <c r="O2" s="3" t="s">
        <v>83</v>
      </c>
      <c r="P2" s="3" t="s">
        <v>84</v>
      </c>
      <c r="Q2" s="3" t="s">
        <v>85</v>
      </c>
      <c r="R2" s="3" t="s">
        <v>86</v>
      </c>
      <c r="S2" s="3" t="s">
        <v>87</v>
      </c>
      <c r="T2" s="3" t="s">
        <v>88</v>
      </c>
      <c r="U2" s="3" t="s">
        <v>89</v>
      </c>
      <c r="V2" s="3" t="s">
        <v>90</v>
      </c>
      <c r="W2" s="3" t="s">
        <v>91</v>
      </c>
      <c r="X2" s="3" t="s">
        <v>92</v>
      </c>
      <c r="Y2" s="3" t="s">
        <v>93</v>
      </c>
      <c r="Z2" s="3" t="s">
        <v>94</v>
      </c>
      <c r="AA2" s="3" t="s">
        <v>95</v>
      </c>
      <c r="AB2" s="3" t="s">
        <v>96</v>
      </c>
      <c r="AC2" s="3" t="s">
        <v>97</v>
      </c>
      <c r="AD2" s="67" t="s">
        <v>1228</v>
      </c>
      <c r="AE2" s="68" t="s">
        <v>1229</v>
      </c>
      <c r="AF2" s="68" t="s">
        <v>1230</v>
      </c>
      <c r="AG2" s="68" t="s">
        <v>1231</v>
      </c>
      <c r="AH2" s="68" t="s">
        <v>1232</v>
      </c>
      <c r="AI2" s="68" t="s">
        <v>1233</v>
      </c>
      <c r="AJ2" s="68" t="s">
        <v>1234</v>
      </c>
    </row>
    <row r="3" spans="1:36" ht="14.45" x14ac:dyDescent="0.35">
      <c r="A3">
        <v>34001</v>
      </c>
      <c r="B3" s="85" t="str">
        <f>VLOOKUP(A3,ADM!$A$1:$R$343,14,0)</f>
        <v>CC les Avant-Monts</v>
      </c>
      <c r="C3" t="s">
        <v>100</v>
      </c>
      <c r="D3" s="8" t="s">
        <v>115</v>
      </c>
      <c r="E3" s="4">
        <v>0.104</v>
      </c>
      <c r="I3" s="8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 s="69">
        <v>882</v>
      </c>
      <c r="AE3" s="69">
        <v>58</v>
      </c>
      <c r="AF3" s="69">
        <v>35</v>
      </c>
      <c r="AG3" s="69">
        <v>23</v>
      </c>
      <c r="AH3" s="69">
        <v>6.5759637188208613</v>
      </c>
      <c r="AI3" s="69">
        <v>3.9682539682539679</v>
      </c>
      <c r="AJ3" s="69">
        <v>2.6077097505668934</v>
      </c>
    </row>
    <row r="4" spans="1:36" ht="14.45" x14ac:dyDescent="0.35">
      <c r="A4">
        <v>34002</v>
      </c>
      <c r="B4" s="85" t="str">
        <f>VLOOKUP(A4,ADM!$A$1:$R$343,14,0)</f>
        <v>CA Hérault-Méditerranée</v>
      </c>
      <c r="C4" t="s">
        <v>118</v>
      </c>
      <c r="D4" s="8" t="s">
        <v>115</v>
      </c>
      <c r="E4" s="4">
        <v>0.14799999999999999</v>
      </c>
      <c r="I4" s="8">
        <v>0</v>
      </c>
      <c r="J4">
        <v>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 s="69">
        <v>652</v>
      </c>
      <c r="AE4" s="69">
        <v>48</v>
      </c>
      <c r="AF4" s="69">
        <v>22</v>
      </c>
      <c r="AG4" s="69">
        <v>26</v>
      </c>
      <c r="AH4" s="69">
        <v>7.3619631901840492</v>
      </c>
      <c r="AI4" s="69">
        <v>3.3742331288343559</v>
      </c>
      <c r="AJ4" s="69">
        <v>3.9877300613496933</v>
      </c>
    </row>
    <row r="5" spans="1:36" ht="14.45" x14ac:dyDescent="0.35">
      <c r="A5">
        <v>34003</v>
      </c>
      <c r="B5" s="85" t="str">
        <f>VLOOKUP(A5,ADM!$A$1:$R$343,14,0)</f>
        <v>CA Hérault-Méditerranée</v>
      </c>
      <c r="C5" t="s">
        <v>128</v>
      </c>
      <c r="D5" s="8" t="s">
        <v>135</v>
      </c>
      <c r="E5" s="4">
        <v>0.10299999999999999</v>
      </c>
      <c r="I5" s="8">
        <v>2</v>
      </c>
      <c r="J5">
        <v>19</v>
      </c>
      <c r="K5">
        <v>0</v>
      </c>
      <c r="L5">
        <v>0</v>
      </c>
      <c r="M5">
        <v>3</v>
      </c>
      <c r="N5">
        <v>0</v>
      </c>
      <c r="O5">
        <v>1</v>
      </c>
      <c r="P5">
        <v>10</v>
      </c>
      <c r="Q5">
        <v>0</v>
      </c>
      <c r="R5">
        <v>1</v>
      </c>
      <c r="S5">
        <v>7</v>
      </c>
      <c r="T5">
        <v>5</v>
      </c>
      <c r="U5">
        <v>0</v>
      </c>
      <c r="V5">
        <v>3</v>
      </c>
      <c r="W5">
        <v>2</v>
      </c>
      <c r="X5">
        <v>0</v>
      </c>
      <c r="Y5">
        <v>0</v>
      </c>
      <c r="Z5">
        <v>0</v>
      </c>
      <c r="AA5">
        <v>0</v>
      </c>
      <c r="AB5">
        <v>3</v>
      </c>
      <c r="AC5">
        <v>2</v>
      </c>
      <c r="AD5" s="69">
        <v>47942</v>
      </c>
      <c r="AE5" s="69">
        <v>2115</v>
      </c>
      <c r="AF5" s="69">
        <v>1563</v>
      </c>
      <c r="AG5" s="69">
        <v>552</v>
      </c>
      <c r="AH5" s="69">
        <v>4.4115806599641232</v>
      </c>
      <c r="AI5" s="69">
        <v>3.260189395519586</v>
      </c>
      <c r="AJ5" s="69">
        <v>1.1513912644445372</v>
      </c>
    </row>
    <row r="6" spans="1:36" ht="14.45" x14ac:dyDescent="0.35">
      <c r="A6">
        <v>34004</v>
      </c>
      <c r="B6" s="85" t="str">
        <f>VLOOKUP(A6,ADM!$A$1:$R$343,14,0)</f>
        <v>CC Du Minervois au Caroux en Haut-Languedoc</v>
      </c>
      <c r="C6" t="s">
        <v>138</v>
      </c>
      <c r="D6" s="8" t="s">
        <v>115</v>
      </c>
      <c r="E6" s="4">
        <v>0.15</v>
      </c>
      <c r="I6" s="8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 s="69">
        <v>195</v>
      </c>
      <c r="AE6" s="69">
        <v>33</v>
      </c>
      <c r="AF6" s="69">
        <v>14</v>
      </c>
      <c r="AG6" s="69">
        <v>19</v>
      </c>
      <c r="AH6" s="69">
        <v>16.923076923076923</v>
      </c>
      <c r="AI6" s="69">
        <v>7.1794871794871788</v>
      </c>
      <c r="AJ6" s="69">
        <v>9.7435897435897445</v>
      </c>
    </row>
    <row r="7" spans="1:36" x14ac:dyDescent="0.25">
      <c r="A7">
        <v>34005</v>
      </c>
      <c r="B7" s="85" t="str">
        <f>VLOOKUP(A7,ADM!$A$1:$R$343,14,0)</f>
        <v>CC des Cévennes Gangeoises et Suménoises</v>
      </c>
      <c r="C7" t="s">
        <v>146</v>
      </c>
      <c r="D7" s="8" t="s">
        <v>115</v>
      </c>
      <c r="E7" s="4" t="s">
        <v>1132</v>
      </c>
      <c r="I7" s="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s="69" t="s">
        <v>1132</v>
      </c>
      <c r="AE7" s="69" t="s">
        <v>1132</v>
      </c>
      <c r="AF7" s="69" t="s">
        <v>1132</v>
      </c>
      <c r="AG7" s="69" t="s">
        <v>1132</v>
      </c>
      <c r="AH7" s="69" t="s">
        <v>1132</v>
      </c>
      <c r="AI7" s="69" t="s">
        <v>1132</v>
      </c>
      <c r="AJ7" s="69" t="s">
        <v>1132</v>
      </c>
    </row>
    <row r="8" spans="1:36" ht="14.45" x14ac:dyDescent="0.35">
      <c r="A8">
        <v>34006</v>
      </c>
      <c r="B8" s="85" t="str">
        <f>VLOOKUP(A8,ADM!$A$1:$R$343,14,0)</f>
        <v>CC Du Minervois au Caroux en Haut-Languedoc</v>
      </c>
      <c r="C8" t="s">
        <v>157</v>
      </c>
      <c r="D8" s="8" t="s">
        <v>115</v>
      </c>
      <c r="E8" s="4">
        <v>0.193</v>
      </c>
      <c r="I8" s="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 s="69" t="s">
        <v>1132</v>
      </c>
      <c r="AE8" s="69" t="s">
        <v>1132</v>
      </c>
      <c r="AF8" s="69" t="s">
        <v>1132</v>
      </c>
      <c r="AG8" s="69" t="s">
        <v>1132</v>
      </c>
      <c r="AH8" s="69" t="s">
        <v>1132</v>
      </c>
      <c r="AI8" s="69" t="s">
        <v>1132</v>
      </c>
      <c r="AJ8" s="69" t="s">
        <v>1132</v>
      </c>
    </row>
    <row r="9" spans="1:36" ht="14.45" x14ac:dyDescent="0.35">
      <c r="A9">
        <v>34007</v>
      </c>
      <c r="B9" s="85" t="str">
        <f>VLOOKUP(A9,ADM!$A$1:$R$343,14,0)</f>
        <v>CC Du Minervois au Caroux en Haut-Languedoc</v>
      </c>
      <c r="C9" t="s">
        <v>159</v>
      </c>
      <c r="D9" s="8" t="s">
        <v>115</v>
      </c>
      <c r="E9" s="4">
        <v>9.6000000000000002E-2</v>
      </c>
      <c r="I9" s="8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 s="69">
        <v>376</v>
      </c>
      <c r="AE9" s="69">
        <v>42</v>
      </c>
      <c r="AF9" s="69">
        <v>14</v>
      </c>
      <c r="AG9" s="69">
        <v>28</v>
      </c>
      <c r="AH9" s="69">
        <v>11.170212765957446</v>
      </c>
      <c r="AI9" s="69">
        <v>3.7234042553191489</v>
      </c>
      <c r="AJ9" s="69">
        <v>7.4468085106382977</v>
      </c>
    </row>
    <row r="10" spans="1:36" ht="14.45" x14ac:dyDescent="0.35">
      <c r="A10">
        <v>34008</v>
      </c>
      <c r="B10" s="85" t="str">
        <f>VLOOKUP(A10,ADM!$A$1:$R$343,14,0)</f>
        <v>CC Grand Orb en Languedoc</v>
      </c>
      <c r="C10" t="s">
        <v>161</v>
      </c>
      <c r="D10" s="8" t="s">
        <v>115</v>
      </c>
      <c r="E10" s="4">
        <v>0.14299999999999999</v>
      </c>
      <c r="I10" s="8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 s="69" t="s">
        <v>1132</v>
      </c>
      <c r="AE10" s="69" t="s">
        <v>1132</v>
      </c>
      <c r="AF10" s="69" t="s">
        <v>1132</v>
      </c>
      <c r="AG10" s="69" t="s">
        <v>1132</v>
      </c>
      <c r="AH10" s="69" t="s">
        <v>1132</v>
      </c>
      <c r="AI10" s="69" t="s">
        <v>1132</v>
      </c>
      <c r="AJ10" s="69" t="s">
        <v>1132</v>
      </c>
    </row>
    <row r="11" spans="1:36" ht="14.45" x14ac:dyDescent="0.35">
      <c r="A11">
        <v>34009</v>
      </c>
      <c r="B11" s="85" t="str">
        <f>VLOOKUP(A11,ADM!$A$1:$R$343,14,0)</f>
        <v>CA de Béziers-Méditerranée</v>
      </c>
      <c r="C11" t="s">
        <v>169</v>
      </c>
      <c r="D11" s="8" t="s">
        <v>115</v>
      </c>
      <c r="E11" s="4">
        <v>0.155</v>
      </c>
      <c r="I11" s="8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 s="69">
        <v>998</v>
      </c>
      <c r="AE11" s="69">
        <v>75</v>
      </c>
      <c r="AF11" s="69">
        <v>48</v>
      </c>
      <c r="AG11" s="69">
        <v>27</v>
      </c>
      <c r="AH11" s="69">
        <v>7.5150300601202407</v>
      </c>
      <c r="AI11" s="69">
        <v>4.8096192384769543</v>
      </c>
      <c r="AJ11" s="69">
        <v>2.7054108216432864</v>
      </c>
    </row>
    <row r="12" spans="1:36" ht="14.45" x14ac:dyDescent="0.35">
      <c r="A12">
        <v>34010</v>
      </c>
      <c r="B12" s="85" t="str">
        <f>VLOOKUP(A12,ADM!$A$1:$R$343,14,0)</f>
        <v>CC Vallée de l'hérault</v>
      </c>
      <c r="C12" t="s">
        <v>173</v>
      </c>
      <c r="D12" s="8" t="s">
        <v>115</v>
      </c>
      <c r="E12" s="4">
        <v>0.121</v>
      </c>
      <c r="I12" s="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 s="69">
        <v>1551</v>
      </c>
      <c r="AE12" s="69">
        <v>129</v>
      </c>
      <c r="AF12" s="69">
        <v>86</v>
      </c>
      <c r="AG12" s="69">
        <v>43</v>
      </c>
      <c r="AH12" s="69">
        <v>8.3172147001934231</v>
      </c>
      <c r="AI12" s="69">
        <v>5.5448098001289488</v>
      </c>
      <c r="AJ12" s="69">
        <v>2.7724049000644744</v>
      </c>
    </row>
    <row r="13" spans="1:36" ht="14.45" x14ac:dyDescent="0.35">
      <c r="A13">
        <v>34011</v>
      </c>
      <c r="B13" s="85" t="str">
        <f>VLOOKUP(A13,ADM!$A$1:$R$343,14,0)</f>
        <v>CC Vallée de l'hérault</v>
      </c>
      <c r="C13" t="s">
        <v>183</v>
      </c>
      <c r="D13" s="8" t="s">
        <v>115</v>
      </c>
      <c r="E13" s="4" t="s">
        <v>1132</v>
      </c>
      <c r="I13" s="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 s="69" t="s">
        <v>1132</v>
      </c>
      <c r="AE13" s="69" t="s">
        <v>1132</v>
      </c>
      <c r="AF13" s="69" t="s">
        <v>1132</v>
      </c>
      <c r="AG13" s="69" t="s">
        <v>1132</v>
      </c>
      <c r="AH13" s="69" t="s">
        <v>1132</v>
      </c>
      <c r="AI13" s="69" t="s">
        <v>1132</v>
      </c>
      <c r="AJ13" s="69" t="s">
        <v>1132</v>
      </c>
    </row>
    <row r="14" spans="1:36" ht="14.45" x14ac:dyDescent="0.35">
      <c r="A14">
        <v>34012</v>
      </c>
      <c r="B14" s="85" t="str">
        <f>VLOOKUP(A14,ADM!$A$1:$R$343,14,0)</f>
        <v>CC Vallée de l'hérault</v>
      </c>
      <c r="C14" t="s">
        <v>185</v>
      </c>
      <c r="D14" s="8" t="s">
        <v>115</v>
      </c>
      <c r="E14" s="4">
        <v>5.6000000000000001E-2</v>
      </c>
      <c r="I14" s="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 s="69" t="s">
        <v>1132</v>
      </c>
      <c r="AE14" s="69" t="s">
        <v>1132</v>
      </c>
      <c r="AF14" s="69" t="s">
        <v>1132</v>
      </c>
      <c r="AG14" s="69" t="s">
        <v>1132</v>
      </c>
      <c r="AH14" s="69" t="s">
        <v>1132</v>
      </c>
      <c r="AI14" s="69" t="s">
        <v>1132</v>
      </c>
      <c r="AJ14" s="69" t="s">
        <v>1132</v>
      </c>
    </row>
    <row r="15" spans="1:36" ht="14.45" x14ac:dyDescent="0.35">
      <c r="A15">
        <v>34013</v>
      </c>
      <c r="B15" s="85" t="str">
        <f>VLOOKUP(A15,ADM!$A$1:$R$343,14,0)</f>
        <v>CC du Clermontais</v>
      </c>
      <c r="C15" t="s">
        <v>187</v>
      </c>
      <c r="D15" s="8" t="s">
        <v>115</v>
      </c>
      <c r="E15" s="4">
        <v>0.11899999999999999</v>
      </c>
      <c r="I15" s="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 s="69">
        <v>885</v>
      </c>
      <c r="AE15" s="69">
        <v>108</v>
      </c>
      <c r="AF15" s="69">
        <v>49</v>
      </c>
      <c r="AG15" s="69">
        <v>59</v>
      </c>
      <c r="AH15" s="69">
        <v>12.203389830508476</v>
      </c>
      <c r="AI15" s="69">
        <v>5.536723163841808</v>
      </c>
      <c r="AJ15" s="69">
        <v>6.666666666666667</v>
      </c>
    </row>
    <row r="16" spans="1:36" ht="14.45" x14ac:dyDescent="0.35">
      <c r="A16">
        <v>34014</v>
      </c>
      <c r="B16" s="85" t="str">
        <f>VLOOKUP(A16,ADM!$A$1:$R$343,14,0)</f>
        <v>CC du Grand Pic Saint-Loup</v>
      </c>
      <c r="C16" t="s">
        <v>190</v>
      </c>
      <c r="D16" s="8" t="s">
        <v>195</v>
      </c>
      <c r="E16" s="4" t="s">
        <v>1132</v>
      </c>
      <c r="I16" s="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 s="69" t="s">
        <v>1132</v>
      </c>
      <c r="AE16" s="69" t="s">
        <v>1132</v>
      </c>
      <c r="AF16" s="69" t="s">
        <v>1132</v>
      </c>
      <c r="AG16" s="69" t="s">
        <v>1132</v>
      </c>
      <c r="AH16" s="69" t="s">
        <v>1132</v>
      </c>
      <c r="AI16" s="69" t="s">
        <v>1132</v>
      </c>
      <c r="AJ16" s="69" t="s">
        <v>1132</v>
      </c>
    </row>
    <row r="17" spans="1:36" ht="14.45" x14ac:dyDescent="0.35">
      <c r="A17">
        <v>34015</v>
      </c>
      <c r="B17" s="85" t="str">
        <f>VLOOKUP(A17,ADM!$A$1:$R$343,14,0)</f>
        <v>CC Sud-Hérault</v>
      </c>
      <c r="C17" t="s">
        <v>196</v>
      </c>
      <c r="D17" s="8" t="s">
        <v>115</v>
      </c>
      <c r="E17" s="4" t="s">
        <v>1132</v>
      </c>
      <c r="I17" s="8">
        <v>0</v>
      </c>
      <c r="J17">
        <v>0</v>
      </c>
      <c r="K17">
        <v>0</v>
      </c>
      <c r="L17">
        <v>0</v>
      </c>
      <c r="M17">
        <v>1</v>
      </c>
      <c r="N17">
        <v>0</v>
      </c>
      <c r="O17">
        <v>0</v>
      </c>
      <c r="P17">
        <v>0</v>
      </c>
      <c r="Q17">
        <v>0</v>
      </c>
      <c r="R17">
        <v>0</v>
      </c>
      <c r="S17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 s="69" t="s">
        <v>1132</v>
      </c>
      <c r="AE17" s="69" t="s">
        <v>1132</v>
      </c>
      <c r="AF17" s="69" t="s">
        <v>1132</v>
      </c>
      <c r="AG17" s="69" t="s">
        <v>1132</v>
      </c>
      <c r="AH17" s="69" t="s">
        <v>1132</v>
      </c>
      <c r="AI17" s="69" t="s">
        <v>1132</v>
      </c>
      <c r="AJ17" s="69" t="s">
        <v>1132</v>
      </c>
    </row>
    <row r="18" spans="1:36" ht="14.45" x14ac:dyDescent="0.35">
      <c r="A18">
        <v>34016</v>
      </c>
      <c r="B18" s="85" t="str">
        <f>VLOOKUP(A18,ADM!$A$1:$R$343,14,0)</f>
        <v>CC Vallée de l'hérault</v>
      </c>
      <c r="C18" t="s">
        <v>199</v>
      </c>
      <c r="D18" s="8" t="s">
        <v>115</v>
      </c>
      <c r="E18" s="4">
        <v>8.5999999999999993E-2</v>
      </c>
      <c r="I18" s="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 s="69" t="s">
        <v>1132</v>
      </c>
      <c r="AE18" s="69" t="s">
        <v>1132</v>
      </c>
      <c r="AF18" s="69" t="s">
        <v>1132</v>
      </c>
      <c r="AG18" s="69" t="s">
        <v>1132</v>
      </c>
      <c r="AH18" s="69" t="s">
        <v>1132</v>
      </c>
      <c r="AI18" s="69" t="s">
        <v>1132</v>
      </c>
      <c r="AJ18" s="69" t="s">
        <v>1132</v>
      </c>
    </row>
    <row r="19" spans="1:36" ht="14.45" x14ac:dyDescent="0.35">
      <c r="A19">
        <v>34017</v>
      </c>
      <c r="B19" s="85" t="str">
        <f>VLOOKUP(A19,ADM!$A$1:$R$343,14,0)</f>
        <v>CA Hérault-Méditerranée</v>
      </c>
      <c r="C19" t="s">
        <v>201</v>
      </c>
      <c r="D19" s="8" t="s">
        <v>115</v>
      </c>
      <c r="E19" s="4">
        <v>0.14099999999999999</v>
      </c>
      <c r="I19" s="8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 s="69">
        <v>292</v>
      </c>
      <c r="AE19" s="69">
        <v>26</v>
      </c>
      <c r="AF19" s="69">
        <v>15</v>
      </c>
      <c r="AG19" s="69">
        <v>11</v>
      </c>
      <c r="AH19" s="69">
        <v>8.9041095890410951</v>
      </c>
      <c r="AI19" s="69">
        <v>5.1369863013698627</v>
      </c>
      <c r="AJ19" s="69">
        <v>3.7671232876712328</v>
      </c>
    </row>
    <row r="20" spans="1:36" ht="14.45" x14ac:dyDescent="0.35">
      <c r="A20">
        <v>34018</v>
      </c>
      <c r="B20" s="85" t="str">
        <f>VLOOKUP(A20,ADM!$A$1:$R$343,14,0)</f>
        <v>CC les Avant-Monts</v>
      </c>
      <c r="C20" t="s">
        <v>204</v>
      </c>
      <c r="D20" s="8" t="s">
        <v>115</v>
      </c>
      <c r="E20" s="4">
        <v>0.14399999999999999</v>
      </c>
      <c r="I20" s="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 s="69">
        <v>629</v>
      </c>
      <c r="AE20" s="69">
        <v>58</v>
      </c>
      <c r="AF20" s="69">
        <v>36</v>
      </c>
      <c r="AG20" s="69">
        <v>22</v>
      </c>
      <c r="AH20" s="69">
        <v>9.2209856915739277</v>
      </c>
      <c r="AI20" s="69">
        <v>5.7233704292527827</v>
      </c>
      <c r="AJ20" s="69">
        <v>3.4976152623211445</v>
      </c>
    </row>
    <row r="21" spans="1:36" x14ac:dyDescent="0.25">
      <c r="A21">
        <v>34019</v>
      </c>
      <c r="B21" s="85" t="str">
        <f>VLOOKUP(A21,ADM!$A$1:$R$343,14,0)</f>
        <v>CC Grand Orb en Languedoc</v>
      </c>
      <c r="C21" t="s">
        <v>208</v>
      </c>
      <c r="D21" s="8" t="s">
        <v>115</v>
      </c>
      <c r="E21" s="4">
        <v>0.16700000000000001</v>
      </c>
      <c r="I21" s="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 s="69">
        <v>486</v>
      </c>
      <c r="AE21" s="69">
        <v>51</v>
      </c>
      <c r="AF21" s="69">
        <v>28</v>
      </c>
      <c r="AG21" s="69">
        <v>23</v>
      </c>
      <c r="AH21" s="69">
        <v>10.493827160493826</v>
      </c>
      <c r="AI21" s="69">
        <v>5.761316872427984</v>
      </c>
      <c r="AJ21" s="69">
        <v>4.7325102880658436</v>
      </c>
    </row>
    <row r="22" spans="1:36" ht="14.45" x14ac:dyDescent="0.35">
      <c r="A22">
        <v>34020</v>
      </c>
      <c r="B22" s="85" t="str">
        <f>VLOOKUP(A22,ADM!$A$1:$R$343,14,0)</f>
        <v>CC Du Minervois au Caroux en Haut-Languedoc</v>
      </c>
      <c r="C22" t="s">
        <v>210</v>
      </c>
      <c r="D22" s="8" t="s">
        <v>115</v>
      </c>
      <c r="E22" s="4">
        <v>0.2</v>
      </c>
      <c r="I22" s="8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 s="69">
        <v>328</v>
      </c>
      <c r="AE22" s="69">
        <v>61</v>
      </c>
      <c r="AF22" s="69">
        <v>24</v>
      </c>
      <c r="AG22" s="69">
        <v>37</v>
      </c>
      <c r="AH22" s="69">
        <v>18.597560975609756</v>
      </c>
      <c r="AI22" s="69">
        <v>7.3170731707317067</v>
      </c>
      <c r="AJ22" s="69">
        <v>11.280487804878049</v>
      </c>
    </row>
    <row r="23" spans="1:36" x14ac:dyDescent="0.25">
      <c r="A23">
        <v>34021</v>
      </c>
      <c r="B23" s="85" t="str">
        <f>VLOOKUP(A23,ADM!$A$1:$R$343,14,0)</f>
        <v>CC Sud-Hérault</v>
      </c>
      <c r="C23" t="s">
        <v>212</v>
      </c>
      <c r="D23" s="8" t="s">
        <v>115</v>
      </c>
      <c r="E23" s="4">
        <v>0.16500000000000001</v>
      </c>
      <c r="I23" s="8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 s="69">
        <v>252</v>
      </c>
      <c r="AE23" s="69">
        <v>33</v>
      </c>
      <c r="AF23" s="69">
        <v>14</v>
      </c>
      <c r="AG23" s="69">
        <v>19</v>
      </c>
      <c r="AH23" s="69">
        <v>13.095238095238097</v>
      </c>
      <c r="AI23" s="69">
        <v>5.5555555555555554</v>
      </c>
      <c r="AJ23" s="69">
        <v>7.5396825396825395</v>
      </c>
    </row>
    <row r="24" spans="1:36" x14ac:dyDescent="0.25">
      <c r="A24">
        <v>34022</v>
      </c>
      <c r="B24" s="85" t="str">
        <f>VLOOKUP(A24,ADM!$A$1:$R$343,14,0)</f>
        <v>Montpellier Méditerranée Métropole</v>
      </c>
      <c r="C24" t="s">
        <v>214</v>
      </c>
      <c r="D24" s="8" t="s">
        <v>135</v>
      </c>
      <c r="E24" s="4">
        <v>2.7E-2</v>
      </c>
      <c r="I24" s="8">
        <v>0</v>
      </c>
      <c r="J24">
        <v>0</v>
      </c>
      <c r="K24">
        <v>0</v>
      </c>
      <c r="L24">
        <v>1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 s="69">
        <v>3219</v>
      </c>
      <c r="AE24" s="69">
        <v>208</v>
      </c>
      <c r="AF24" s="69">
        <v>172</v>
      </c>
      <c r="AG24" s="69">
        <v>36</v>
      </c>
      <c r="AH24" s="69">
        <v>6.4616340478409446</v>
      </c>
      <c r="AI24" s="69">
        <v>5.3432743087915497</v>
      </c>
      <c r="AJ24" s="69">
        <v>1.1183597390493942</v>
      </c>
    </row>
    <row r="25" spans="1:36" x14ac:dyDescent="0.25">
      <c r="A25">
        <v>34023</v>
      </c>
      <c r="B25" s="85" t="str">
        <f>VLOOKUP(A25,ADM!$A$1:$R$343,14,0)</f>
        <v>Sète Agglopôle Méditerranée</v>
      </c>
      <c r="C25" t="s">
        <v>225</v>
      </c>
      <c r="D25" s="8" t="s">
        <v>135</v>
      </c>
      <c r="E25" s="4">
        <v>4.1000000000000002E-2</v>
      </c>
      <c r="I25" s="8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</v>
      </c>
      <c r="W25">
        <v>0</v>
      </c>
      <c r="X25">
        <v>0</v>
      </c>
      <c r="Y25">
        <v>1</v>
      </c>
      <c r="Z25">
        <v>0</v>
      </c>
      <c r="AA25">
        <v>0</v>
      </c>
      <c r="AB25">
        <v>0</v>
      </c>
      <c r="AC25">
        <v>0</v>
      </c>
      <c r="AD25" s="69">
        <v>6859</v>
      </c>
      <c r="AE25" s="69">
        <v>403</v>
      </c>
      <c r="AF25" s="69">
        <v>316</v>
      </c>
      <c r="AG25" s="69">
        <v>87</v>
      </c>
      <c r="AH25" s="69">
        <v>5.8754920542353117</v>
      </c>
      <c r="AI25" s="69">
        <v>4.6070855809884819</v>
      </c>
      <c r="AJ25" s="69">
        <v>1.268406473246829</v>
      </c>
    </row>
    <row r="26" spans="1:36" x14ac:dyDescent="0.25">
      <c r="A26">
        <v>34024</v>
      </c>
      <c r="B26" s="85" t="str">
        <f>VLOOKUP(A26,ADM!$A$1:$R$343,14,0)</f>
        <v>Sète Agglopôle Méditerranée</v>
      </c>
      <c r="C26" t="s">
        <v>235</v>
      </c>
      <c r="D26" s="8" t="s">
        <v>135</v>
      </c>
      <c r="E26" s="4">
        <v>5.5E-2</v>
      </c>
      <c r="I26" s="8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69" t="s">
        <v>1132</v>
      </c>
      <c r="AE26" s="69" t="s">
        <v>1132</v>
      </c>
      <c r="AF26" s="69" t="s">
        <v>1132</v>
      </c>
      <c r="AG26" s="69" t="s">
        <v>1132</v>
      </c>
      <c r="AH26" s="69" t="s">
        <v>1132</v>
      </c>
      <c r="AI26" s="69" t="s">
        <v>1132</v>
      </c>
      <c r="AJ26" s="69" t="s">
        <v>1132</v>
      </c>
    </row>
    <row r="27" spans="1:36" x14ac:dyDescent="0.25">
      <c r="A27">
        <v>34025</v>
      </c>
      <c r="B27" s="85" t="str">
        <f>VLOOKUP(A27,ADM!$A$1:$R$343,14,0)</f>
        <v>CA de Béziers-Méditerranée</v>
      </c>
      <c r="C27" t="s">
        <v>239</v>
      </c>
      <c r="D27" s="8" t="s">
        <v>243</v>
      </c>
      <c r="E27" s="4">
        <v>9.8000000000000004E-2</v>
      </c>
      <c r="I27" s="8">
        <v>0</v>
      </c>
      <c r="J27">
        <v>3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</v>
      </c>
      <c r="T27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 s="69">
        <v>1138</v>
      </c>
      <c r="AE27" s="69">
        <v>75</v>
      </c>
      <c r="AF27" s="69">
        <v>51</v>
      </c>
      <c r="AG27" s="69">
        <v>24</v>
      </c>
      <c r="AH27" s="69">
        <v>6.5905096660808429</v>
      </c>
      <c r="AI27" s="69">
        <v>4.4815465729349739</v>
      </c>
      <c r="AJ27" s="69">
        <v>2.1089630931458698</v>
      </c>
    </row>
    <row r="28" spans="1:36" x14ac:dyDescent="0.25">
      <c r="A28">
        <v>34026</v>
      </c>
      <c r="B28" s="85" t="str">
        <f>VLOOKUP(A28,ADM!$A$1:$R$343,14,0)</f>
        <v>CC Du Minervois au Caroux en Haut-Languedoc</v>
      </c>
      <c r="C28" t="s">
        <v>246</v>
      </c>
      <c r="D28" s="8" t="s">
        <v>115</v>
      </c>
      <c r="E28" s="4" t="s">
        <v>1132</v>
      </c>
      <c r="I28" s="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69">
        <v>186</v>
      </c>
      <c r="AE28" s="69">
        <v>24</v>
      </c>
      <c r="AF28" s="69">
        <v>11</v>
      </c>
      <c r="AG28" s="69">
        <v>13</v>
      </c>
      <c r="AH28" s="69">
        <v>12.903225806451612</v>
      </c>
      <c r="AI28" s="69">
        <v>5.913978494623656</v>
      </c>
      <c r="AJ28" s="69">
        <v>6.9892473118279561</v>
      </c>
    </row>
    <row r="29" spans="1:36" x14ac:dyDescent="0.25">
      <c r="A29">
        <v>34027</v>
      </c>
      <c r="B29" s="85" t="str">
        <f>VLOOKUP(A29,ADM!$A$1:$R$343,14,0)</f>
        <v>Montpellier Méditerranée Métropole</v>
      </c>
      <c r="C29" t="s">
        <v>249</v>
      </c>
      <c r="D29" s="8" t="s">
        <v>115</v>
      </c>
      <c r="E29" s="4" t="s">
        <v>1132</v>
      </c>
      <c r="I29" s="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69">
        <v>912</v>
      </c>
      <c r="AE29" s="69">
        <v>44</v>
      </c>
      <c r="AF29" s="69">
        <v>27</v>
      </c>
      <c r="AG29" s="69">
        <v>17</v>
      </c>
      <c r="AH29" s="69">
        <v>4.8245614035087714</v>
      </c>
      <c r="AI29" s="69">
        <v>2.9605263157894735</v>
      </c>
      <c r="AJ29" s="69">
        <v>1.8640350877192982</v>
      </c>
    </row>
    <row r="30" spans="1:36" x14ac:dyDescent="0.25">
      <c r="A30">
        <v>34028</v>
      </c>
      <c r="B30" s="85" t="str">
        <f>VLOOKUP(A30,ADM!$A$1:$R$343,14,0)</f>
        <v>CC Grand Orb en Languedoc</v>
      </c>
      <c r="C30" t="s">
        <v>162</v>
      </c>
      <c r="D30" s="8" t="s">
        <v>115</v>
      </c>
      <c r="E30" s="4">
        <v>0.20300000000000001</v>
      </c>
      <c r="I30" s="8">
        <v>0</v>
      </c>
      <c r="J30">
        <v>0</v>
      </c>
      <c r="K30">
        <v>0</v>
      </c>
      <c r="L30">
        <v>0</v>
      </c>
      <c r="M30">
        <v>6</v>
      </c>
      <c r="N30">
        <v>5</v>
      </c>
      <c r="O30">
        <v>0</v>
      </c>
      <c r="P30">
        <v>2</v>
      </c>
      <c r="Q30">
        <v>0</v>
      </c>
      <c r="R30">
        <v>0</v>
      </c>
      <c r="S30">
        <v>4</v>
      </c>
      <c r="T30">
        <v>0</v>
      </c>
      <c r="U30">
        <v>0</v>
      </c>
      <c r="V30">
        <v>2</v>
      </c>
      <c r="W30">
        <v>0</v>
      </c>
      <c r="X30">
        <v>0</v>
      </c>
      <c r="Y30">
        <v>0</v>
      </c>
      <c r="Z30">
        <v>0</v>
      </c>
      <c r="AA30">
        <v>0</v>
      </c>
      <c r="AB30">
        <v>2</v>
      </c>
      <c r="AC30">
        <v>0</v>
      </c>
      <c r="AD30" s="69">
        <v>4247</v>
      </c>
      <c r="AE30" s="69">
        <v>817</v>
      </c>
      <c r="AF30" s="69">
        <v>323</v>
      </c>
      <c r="AG30" s="69">
        <v>494</v>
      </c>
      <c r="AH30" s="69">
        <v>19.237108547209793</v>
      </c>
      <c r="AI30" s="69">
        <v>7.6053684954085234</v>
      </c>
      <c r="AJ30" s="69">
        <v>11.631740051801271</v>
      </c>
    </row>
    <row r="31" spans="1:36" x14ac:dyDescent="0.25">
      <c r="A31">
        <v>34029</v>
      </c>
      <c r="B31" s="85" t="str">
        <f>VLOOKUP(A31,ADM!$A$1:$R$343,14,0)</f>
        <v>CC Vallée de l'hérault</v>
      </c>
      <c r="C31" t="s">
        <v>255</v>
      </c>
      <c r="D31" s="8" t="s">
        <v>115</v>
      </c>
      <c r="E31" s="4">
        <v>8.5000000000000006E-2</v>
      </c>
      <c r="I31" s="8">
        <v>0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69">
        <v>322</v>
      </c>
      <c r="AE31" s="69">
        <v>31</v>
      </c>
      <c r="AF31" s="69">
        <v>16</v>
      </c>
      <c r="AG31" s="69">
        <v>15</v>
      </c>
      <c r="AH31" s="69">
        <v>9.6273291925465845</v>
      </c>
      <c r="AI31" s="69">
        <v>4.9689440993788816</v>
      </c>
      <c r="AJ31" s="69">
        <v>4.658385093167702</v>
      </c>
    </row>
    <row r="32" spans="1:36" x14ac:dyDescent="0.25">
      <c r="A32">
        <v>34030</v>
      </c>
      <c r="B32" s="85" t="str">
        <f>VLOOKUP(A32,ADM!$A$1:$R$343,14,0)</f>
        <v>CC Du Minervois au Caroux en Haut-Languedoc</v>
      </c>
      <c r="C32" t="s">
        <v>257</v>
      </c>
      <c r="D32" s="8" t="s">
        <v>115</v>
      </c>
      <c r="E32" s="4" t="s">
        <v>1132</v>
      </c>
      <c r="I32" s="8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69" t="s">
        <v>1132</v>
      </c>
      <c r="AE32" s="69" t="s">
        <v>1132</v>
      </c>
      <c r="AF32" s="69" t="s">
        <v>1132</v>
      </c>
      <c r="AG32" s="69" t="s">
        <v>1132</v>
      </c>
      <c r="AH32" s="69" t="s">
        <v>1132</v>
      </c>
      <c r="AI32" s="69" t="s">
        <v>1132</v>
      </c>
      <c r="AJ32" s="69" t="s">
        <v>1132</v>
      </c>
    </row>
    <row r="33" spans="1:36" x14ac:dyDescent="0.25">
      <c r="A33">
        <v>34031</v>
      </c>
      <c r="B33" s="85" t="str">
        <f>VLOOKUP(A33,ADM!$A$1:$R$343,14,0)</f>
        <v>CA Hérault-Méditerranée</v>
      </c>
      <c r="C33" t="s">
        <v>260</v>
      </c>
      <c r="D33" s="8" t="s">
        <v>115</v>
      </c>
      <c r="E33" s="4">
        <v>0.182</v>
      </c>
      <c r="I33" s="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2</v>
      </c>
      <c r="W33">
        <v>0</v>
      </c>
      <c r="X33">
        <v>0</v>
      </c>
      <c r="Y33">
        <v>0</v>
      </c>
      <c r="Z33">
        <v>0</v>
      </c>
      <c r="AA33">
        <v>0</v>
      </c>
      <c r="AB33">
        <v>2</v>
      </c>
      <c r="AC33">
        <v>0</v>
      </c>
      <c r="AD33" s="69">
        <v>2656</v>
      </c>
      <c r="AE33" s="69">
        <v>241</v>
      </c>
      <c r="AF33" s="69">
        <v>157</v>
      </c>
      <c r="AG33" s="69">
        <v>84</v>
      </c>
      <c r="AH33" s="69">
        <v>9.0737951807228914</v>
      </c>
      <c r="AI33" s="69">
        <v>5.9111445783132526</v>
      </c>
      <c r="AJ33" s="69">
        <v>3.1626506024096384</v>
      </c>
    </row>
    <row r="34" spans="1:36" x14ac:dyDescent="0.25">
      <c r="A34">
        <v>34032</v>
      </c>
      <c r="B34" s="85" t="str">
        <f>VLOOKUP(A34,ADM!$A$1:$R$343,14,0)</f>
        <v>CA de Béziers-Méditerranée</v>
      </c>
      <c r="C34" t="s">
        <v>101</v>
      </c>
      <c r="D34" s="8" t="s">
        <v>243</v>
      </c>
      <c r="E34" s="4">
        <v>0.20499999999999999</v>
      </c>
      <c r="I34" s="8">
        <v>6</v>
      </c>
      <c r="J34">
        <v>12</v>
      </c>
      <c r="K34">
        <v>1</v>
      </c>
      <c r="L34">
        <v>25</v>
      </c>
      <c r="M34">
        <v>2</v>
      </c>
      <c r="N34">
        <v>0</v>
      </c>
      <c r="O34">
        <v>10</v>
      </c>
      <c r="P34">
        <v>0</v>
      </c>
      <c r="Q34">
        <v>0</v>
      </c>
      <c r="R34">
        <v>17</v>
      </c>
      <c r="S34">
        <v>39</v>
      </c>
      <c r="T34">
        <v>3</v>
      </c>
      <c r="U34">
        <v>3</v>
      </c>
      <c r="V34">
        <v>29</v>
      </c>
      <c r="W34">
        <v>1</v>
      </c>
      <c r="X34">
        <v>1</v>
      </c>
      <c r="Y34">
        <v>24</v>
      </c>
      <c r="Z34">
        <v>1</v>
      </c>
      <c r="AA34">
        <v>2</v>
      </c>
      <c r="AB34">
        <v>5</v>
      </c>
      <c r="AC34">
        <v>0</v>
      </c>
      <c r="AD34" s="69">
        <v>43200</v>
      </c>
      <c r="AE34" s="69">
        <v>7089</v>
      </c>
      <c r="AF34" s="69">
        <v>4543</v>
      </c>
      <c r="AG34" s="69">
        <v>2546</v>
      </c>
      <c r="AH34" s="69">
        <v>16.409722222222221</v>
      </c>
      <c r="AI34" s="69">
        <v>10.516203703703704</v>
      </c>
      <c r="AJ34" s="69">
        <v>5.893518518518519</v>
      </c>
    </row>
    <row r="35" spans="1:36" x14ac:dyDescent="0.25">
      <c r="A35">
        <v>34033</v>
      </c>
      <c r="B35" s="85" t="str">
        <f>VLOOKUP(A35,ADM!$A$1:$R$343,14,0)</f>
        <v>CC du Pays de Lunel</v>
      </c>
      <c r="C35" t="s">
        <v>272</v>
      </c>
      <c r="D35" s="8" t="s">
        <v>115</v>
      </c>
      <c r="E35" s="4">
        <v>4.2999999999999997E-2</v>
      </c>
      <c r="I35" s="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69">
        <v>930</v>
      </c>
      <c r="AE35" s="69">
        <v>69</v>
      </c>
      <c r="AF35" s="69">
        <v>41</v>
      </c>
      <c r="AG35" s="69">
        <v>28</v>
      </c>
      <c r="AH35" s="69">
        <v>7.419354838709677</v>
      </c>
      <c r="AI35" s="69">
        <v>4.408602150537634</v>
      </c>
      <c r="AJ35" s="69">
        <v>3.010752688172043</v>
      </c>
    </row>
    <row r="36" spans="1:36" x14ac:dyDescent="0.25">
      <c r="A36">
        <v>34034</v>
      </c>
      <c r="B36" s="85" t="str">
        <f>VLOOKUP(A36,ADM!$A$1:$R$343,14,0)</f>
        <v>CC Du Minervois au Caroux en Haut-Languedoc</v>
      </c>
      <c r="C36" t="s">
        <v>278</v>
      </c>
      <c r="D36" s="8" t="s">
        <v>115</v>
      </c>
      <c r="E36" s="4" t="s">
        <v>1132</v>
      </c>
      <c r="I36" s="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69" t="s">
        <v>1132</v>
      </c>
      <c r="AE36" s="69" t="s">
        <v>1132</v>
      </c>
      <c r="AF36" s="69" t="s">
        <v>1132</v>
      </c>
      <c r="AG36" s="69" t="s">
        <v>1132</v>
      </c>
      <c r="AH36" s="69" t="s">
        <v>1132</v>
      </c>
      <c r="AI36" s="69" t="s">
        <v>1132</v>
      </c>
      <c r="AJ36" s="69" t="s">
        <v>1132</v>
      </c>
    </row>
    <row r="37" spans="1:36" x14ac:dyDescent="0.25">
      <c r="A37">
        <v>34035</v>
      </c>
      <c r="B37" s="85" t="str">
        <f>VLOOKUP(A37,ADM!$A$1:$R$343,14,0)</f>
        <v>CC Vallée de l'hérault</v>
      </c>
      <c r="C37" t="s">
        <v>280</v>
      </c>
      <c r="D37" s="8" t="s">
        <v>115</v>
      </c>
      <c r="E37" s="4">
        <v>5.5E-2</v>
      </c>
      <c r="I37" s="8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69" t="s">
        <v>1132</v>
      </c>
      <c r="AE37" s="69" t="s">
        <v>1132</v>
      </c>
      <c r="AF37" s="69" t="s">
        <v>1132</v>
      </c>
      <c r="AG37" s="69" t="s">
        <v>1132</v>
      </c>
      <c r="AH37" s="69" t="s">
        <v>1132</v>
      </c>
      <c r="AI37" s="69" t="s">
        <v>1132</v>
      </c>
      <c r="AJ37" s="69" t="s">
        <v>1132</v>
      </c>
    </row>
    <row r="38" spans="1:36" x14ac:dyDescent="0.25">
      <c r="A38">
        <v>34036</v>
      </c>
      <c r="B38" s="85" t="str">
        <f>VLOOKUP(A38,ADM!$A$1:$R$343,14,0)</f>
        <v>CC Lodévois et Larzac</v>
      </c>
      <c r="C38" t="s">
        <v>282</v>
      </c>
      <c r="D38" s="8" t="s">
        <v>115</v>
      </c>
      <c r="E38" s="4">
        <v>0.10199999999999999</v>
      </c>
      <c r="I38" s="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69">
        <v>803</v>
      </c>
      <c r="AE38" s="69">
        <v>67</v>
      </c>
      <c r="AF38" s="69">
        <v>34</v>
      </c>
      <c r="AG38" s="69">
        <v>33</v>
      </c>
      <c r="AH38" s="69">
        <v>8.3437110834371104</v>
      </c>
      <c r="AI38" s="69">
        <v>4.2341220423412205</v>
      </c>
      <c r="AJ38" s="69">
        <v>4.10958904109589</v>
      </c>
    </row>
    <row r="39" spans="1:36" x14ac:dyDescent="0.25">
      <c r="A39">
        <v>34037</v>
      </c>
      <c r="B39" s="85" t="str">
        <f>VLOOKUP(A39,ADM!$A$1:$R$343,14,0)</f>
        <v>CA de Béziers-Méditerranée</v>
      </c>
      <c r="C39" t="s">
        <v>285</v>
      </c>
      <c r="D39" s="8" t="s">
        <v>243</v>
      </c>
      <c r="E39" s="4">
        <v>8.1000000000000003E-2</v>
      </c>
      <c r="I39" s="8">
        <v>0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1</v>
      </c>
      <c r="W39">
        <v>0</v>
      </c>
      <c r="X39">
        <v>0</v>
      </c>
      <c r="Y39">
        <v>0</v>
      </c>
      <c r="Z39">
        <v>0</v>
      </c>
      <c r="AA39">
        <v>0</v>
      </c>
      <c r="AB39">
        <v>1</v>
      </c>
      <c r="AC39">
        <v>0</v>
      </c>
      <c r="AD39" s="69">
        <v>1756</v>
      </c>
      <c r="AE39" s="69">
        <v>184</v>
      </c>
      <c r="AF39" s="69">
        <v>133</v>
      </c>
      <c r="AG39" s="69">
        <v>51</v>
      </c>
      <c r="AH39" s="69">
        <v>10.478359908883828</v>
      </c>
      <c r="AI39" s="69">
        <v>7.5740318906605912</v>
      </c>
      <c r="AJ39" s="69">
        <v>2.9043280182232345</v>
      </c>
    </row>
    <row r="40" spans="1:36" x14ac:dyDescent="0.25">
      <c r="A40">
        <v>34038</v>
      </c>
      <c r="B40" s="85" t="str">
        <f>VLOOKUP(A40,ADM!$A$1:$R$343,14,0)</f>
        <v>CC Grand Orb en Languedoc</v>
      </c>
      <c r="C40" t="s">
        <v>289</v>
      </c>
      <c r="D40" s="8" t="s">
        <v>115</v>
      </c>
      <c r="E40" s="4">
        <v>0.159</v>
      </c>
      <c r="I40" s="8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69">
        <v>1102</v>
      </c>
      <c r="AE40" s="69">
        <v>193</v>
      </c>
      <c r="AF40" s="69">
        <v>84</v>
      </c>
      <c r="AG40" s="69">
        <v>109</v>
      </c>
      <c r="AH40" s="69">
        <v>17.513611615245008</v>
      </c>
      <c r="AI40" s="69">
        <v>7.6225045372050815</v>
      </c>
      <c r="AJ40" s="69">
        <v>9.8911070780399282</v>
      </c>
    </row>
    <row r="41" spans="1:36" x14ac:dyDescent="0.25">
      <c r="A41">
        <v>34039</v>
      </c>
      <c r="B41" s="85" t="str">
        <f>VLOOKUP(A41,ADM!$A$1:$R$343,14,0)</f>
        <v>Sète Agglopôle Méditerranée</v>
      </c>
      <c r="C41" t="s">
        <v>293</v>
      </c>
      <c r="D41" s="8" t="s">
        <v>243</v>
      </c>
      <c r="E41" s="4">
        <v>8.7999999999999995E-2</v>
      </c>
      <c r="I41" s="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69">
        <v>1062</v>
      </c>
      <c r="AE41" s="69">
        <v>74</v>
      </c>
      <c r="AF41" s="69">
        <v>56</v>
      </c>
      <c r="AG41" s="69">
        <v>18</v>
      </c>
      <c r="AH41" s="69">
        <v>6.9679849340866298</v>
      </c>
      <c r="AI41" s="69">
        <v>5.2730696798493408</v>
      </c>
      <c r="AJ41" s="69">
        <v>1.6949152542372881</v>
      </c>
    </row>
    <row r="42" spans="1:36" x14ac:dyDescent="0.25">
      <c r="A42">
        <v>34040</v>
      </c>
      <c r="B42" s="85" t="str">
        <f>VLOOKUP(A42,ADM!$A$1:$R$343,14,0)</f>
        <v>CC Grand Orb en Languedoc</v>
      </c>
      <c r="C42" t="s">
        <v>295</v>
      </c>
      <c r="D42" s="8" t="s">
        <v>115</v>
      </c>
      <c r="E42" s="4" t="s">
        <v>1132</v>
      </c>
      <c r="I42" s="8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69" t="s">
        <v>1132</v>
      </c>
      <c r="AE42" s="69" t="s">
        <v>1132</v>
      </c>
      <c r="AF42" s="69" t="s">
        <v>1132</v>
      </c>
      <c r="AG42" s="69" t="s">
        <v>1132</v>
      </c>
      <c r="AH42" s="69" t="s">
        <v>1132</v>
      </c>
      <c r="AI42" s="69" t="s">
        <v>1132</v>
      </c>
      <c r="AJ42" s="69" t="s">
        <v>1132</v>
      </c>
    </row>
    <row r="43" spans="1:36" x14ac:dyDescent="0.25">
      <c r="A43">
        <v>34041</v>
      </c>
      <c r="B43" s="85" t="str">
        <f>VLOOKUP(A43,ADM!$A$1:$R$343,14,0)</f>
        <v>CC du Clermontais</v>
      </c>
      <c r="C43" t="s">
        <v>297</v>
      </c>
      <c r="D43" s="8" t="s">
        <v>115</v>
      </c>
      <c r="E43" s="4">
        <v>8.2000000000000003E-2</v>
      </c>
      <c r="I43" s="8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69" t="s">
        <v>1132</v>
      </c>
      <c r="AE43" s="69" t="s">
        <v>1132</v>
      </c>
      <c r="AF43" s="69" t="s">
        <v>1132</v>
      </c>
      <c r="AG43" s="69" t="s">
        <v>1132</v>
      </c>
      <c r="AH43" s="69" t="s">
        <v>1132</v>
      </c>
      <c r="AI43" s="69" t="s">
        <v>1132</v>
      </c>
      <c r="AJ43" s="69" t="s">
        <v>1132</v>
      </c>
    </row>
    <row r="44" spans="1:36" x14ac:dyDescent="0.25">
      <c r="A44">
        <v>34042</v>
      </c>
      <c r="B44" s="85" t="str">
        <f>VLOOKUP(A44,ADM!$A$1:$R$343,14,0)</f>
        <v>CC des Cévennes Gangeoises et Suménoises</v>
      </c>
      <c r="C44" t="s">
        <v>300</v>
      </c>
      <c r="D44" s="8" t="s">
        <v>115</v>
      </c>
      <c r="E44" s="4">
        <v>0.16</v>
      </c>
      <c r="I44" s="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69">
        <v>387</v>
      </c>
      <c r="AE44" s="69">
        <v>38</v>
      </c>
      <c r="AF44" s="69">
        <v>25</v>
      </c>
      <c r="AG44" s="69">
        <v>13</v>
      </c>
      <c r="AH44" s="69">
        <v>9.819121447028424</v>
      </c>
      <c r="AI44" s="69">
        <v>6.459948320413436</v>
      </c>
      <c r="AJ44" s="69">
        <v>3.3591731266149871</v>
      </c>
    </row>
    <row r="45" spans="1:36" x14ac:dyDescent="0.25">
      <c r="A45">
        <v>34043</v>
      </c>
      <c r="B45" s="85" t="str">
        <f>VLOOKUP(A45,ADM!$A$1:$R$343,14,0)</f>
        <v>CC du Grand Pic Saint-Loup</v>
      </c>
      <c r="C45" t="s">
        <v>302</v>
      </c>
      <c r="D45" s="8" t="s">
        <v>115</v>
      </c>
      <c r="E45" s="4" t="s">
        <v>1132</v>
      </c>
      <c r="I45" s="8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69" t="s">
        <v>1132</v>
      </c>
      <c r="AE45" s="69" t="s">
        <v>1132</v>
      </c>
      <c r="AF45" s="69" t="s">
        <v>1132</v>
      </c>
      <c r="AG45" s="69" t="s">
        <v>1132</v>
      </c>
      <c r="AH45" s="69" t="s">
        <v>1132</v>
      </c>
      <c r="AI45" s="69" t="s">
        <v>1132</v>
      </c>
      <c r="AJ45" s="69" t="s">
        <v>1132</v>
      </c>
    </row>
    <row r="46" spans="1:36" x14ac:dyDescent="0.25">
      <c r="A46">
        <v>34044</v>
      </c>
      <c r="B46" s="85" t="str">
        <f>VLOOKUP(A46,ADM!$A$1:$R$343,14,0)</f>
        <v>CC les Avant-Monts</v>
      </c>
      <c r="C46" t="s">
        <v>305</v>
      </c>
      <c r="D46" s="8" t="s">
        <v>115</v>
      </c>
      <c r="E46" s="4">
        <v>0.186</v>
      </c>
      <c r="I46" s="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69">
        <v>294</v>
      </c>
      <c r="AE46" s="69">
        <v>27</v>
      </c>
      <c r="AF46" s="69">
        <v>14</v>
      </c>
      <c r="AG46" s="69">
        <v>13</v>
      </c>
      <c r="AH46" s="69">
        <v>9.183673469387756</v>
      </c>
      <c r="AI46" s="69">
        <v>4.7619047619047619</v>
      </c>
      <c r="AJ46" s="69">
        <v>4.4217687074829932</v>
      </c>
    </row>
    <row r="47" spans="1:36" x14ac:dyDescent="0.25">
      <c r="A47">
        <v>34045</v>
      </c>
      <c r="B47" s="85" t="str">
        <f>VLOOKUP(A47,ADM!$A$1:$R$343,14,0)</f>
        <v>CC du Clermontais</v>
      </c>
      <c r="C47" t="s">
        <v>307</v>
      </c>
      <c r="D47" s="8" t="s">
        <v>115</v>
      </c>
      <c r="E47" s="4">
        <v>0.13500000000000001</v>
      </c>
      <c r="I47" s="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69">
        <v>352</v>
      </c>
      <c r="AE47" s="69">
        <v>44</v>
      </c>
      <c r="AF47" s="69">
        <v>24</v>
      </c>
      <c r="AG47" s="69">
        <v>20</v>
      </c>
      <c r="AH47" s="69">
        <v>12.5</v>
      </c>
      <c r="AI47" s="69">
        <v>6.8181818181818175</v>
      </c>
      <c r="AJ47" s="69">
        <v>5.6818181818181817</v>
      </c>
    </row>
    <row r="48" spans="1:36" x14ac:dyDescent="0.25">
      <c r="A48">
        <v>34046</v>
      </c>
      <c r="B48" s="85" t="str">
        <f>VLOOKUP(A48,ADM!$A$1:$R$343,14,0)</f>
        <v>CC des Monts de Lacaune et de la Montagne du Haut Languedoc</v>
      </c>
      <c r="C48" t="s">
        <v>309</v>
      </c>
      <c r="D48" s="8" t="s">
        <v>115</v>
      </c>
      <c r="E48" s="4" t="s">
        <v>1132</v>
      </c>
      <c r="I48" s="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69" t="s">
        <v>1132</v>
      </c>
      <c r="AE48" s="69" t="s">
        <v>1132</v>
      </c>
      <c r="AF48" s="69" t="s">
        <v>1132</v>
      </c>
      <c r="AG48" s="69" t="s">
        <v>1132</v>
      </c>
      <c r="AH48" s="69" t="s">
        <v>1132</v>
      </c>
      <c r="AI48" s="69" t="s">
        <v>1132</v>
      </c>
      <c r="AJ48" s="69" t="s">
        <v>1132</v>
      </c>
    </row>
    <row r="49" spans="1:36" x14ac:dyDescent="0.25">
      <c r="A49">
        <v>34047</v>
      </c>
      <c r="B49" s="85" t="str">
        <f>VLOOKUP(A49,ADM!$A$1:$R$343,14,0)</f>
        <v>CC Vallée de l'hérault</v>
      </c>
      <c r="C49" t="s">
        <v>312</v>
      </c>
      <c r="D49" s="8" t="s">
        <v>115</v>
      </c>
      <c r="E49" s="4">
        <v>9.6000000000000002E-2</v>
      </c>
      <c r="I49" s="8">
        <v>0</v>
      </c>
      <c r="J49">
        <v>0</v>
      </c>
      <c r="K49">
        <v>0</v>
      </c>
      <c r="L49">
        <v>0</v>
      </c>
      <c r="M49">
        <v>1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69" t="s">
        <v>1132</v>
      </c>
      <c r="AE49" s="69" t="s">
        <v>1132</v>
      </c>
      <c r="AF49" s="69" t="s">
        <v>1132</v>
      </c>
      <c r="AG49" s="69" t="s">
        <v>1132</v>
      </c>
      <c r="AH49" s="69" t="s">
        <v>1132</v>
      </c>
      <c r="AI49" s="69" t="s">
        <v>1132</v>
      </c>
      <c r="AJ49" s="69" t="s">
        <v>1132</v>
      </c>
    </row>
    <row r="50" spans="1:36" x14ac:dyDescent="0.25">
      <c r="A50">
        <v>34048</v>
      </c>
      <c r="B50" s="85" t="str">
        <f>VLOOKUP(A50,ADM!$A$1:$R$343,14,0)</f>
        <v>CC du Pays de Lunel</v>
      </c>
      <c r="C50" t="s">
        <v>314</v>
      </c>
      <c r="D50" s="8" t="s">
        <v>115</v>
      </c>
      <c r="E50" s="4" t="s">
        <v>1132</v>
      </c>
      <c r="I50" s="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69" t="s">
        <v>1132</v>
      </c>
      <c r="AE50" s="69" t="s">
        <v>1132</v>
      </c>
      <c r="AF50" s="69" t="s">
        <v>1132</v>
      </c>
      <c r="AG50" s="69" t="s">
        <v>1132</v>
      </c>
      <c r="AH50" s="69" t="s">
        <v>1132</v>
      </c>
      <c r="AI50" s="69" t="s">
        <v>1132</v>
      </c>
      <c r="AJ50" s="69" t="s">
        <v>1132</v>
      </c>
    </row>
    <row r="51" spans="1:36" x14ac:dyDescent="0.25">
      <c r="A51">
        <v>34049</v>
      </c>
      <c r="B51" s="85" t="str">
        <f>VLOOKUP(A51,ADM!$A$1:$R$343,14,0)</f>
        <v>CC Grand Orb en Languedoc</v>
      </c>
      <c r="C51" t="s">
        <v>316</v>
      </c>
      <c r="D51" s="8" t="s">
        <v>115</v>
      </c>
      <c r="E51" s="4" t="s">
        <v>1132</v>
      </c>
      <c r="I51" s="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69" t="s">
        <v>1132</v>
      </c>
      <c r="AE51" s="69" t="s">
        <v>1132</v>
      </c>
      <c r="AF51" s="69" t="s">
        <v>1132</v>
      </c>
      <c r="AG51" s="69" t="s">
        <v>1132</v>
      </c>
      <c r="AH51" s="69" t="s">
        <v>1132</v>
      </c>
      <c r="AI51" s="69" t="s">
        <v>1132</v>
      </c>
      <c r="AJ51" s="69" t="s">
        <v>1132</v>
      </c>
    </row>
    <row r="52" spans="1:36" x14ac:dyDescent="0.25">
      <c r="A52">
        <v>34050</v>
      </c>
      <c r="B52" s="85" t="str">
        <f>VLOOKUP(A52,ADM!$A$1:$R$343,14,0)</f>
        <v>CA du Pays de l'Or</v>
      </c>
      <c r="C52" t="s">
        <v>318</v>
      </c>
      <c r="D52" s="8" t="s">
        <v>243</v>
      </c>
      <c r="E52" s="4" t="s">
        <v>1132</v>
      </c>
      <c r="I52" s="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69" t="s">
        <v>1132</v>
      </c>
      <c r="AE52" s="69" t="s">
        <v>1132</v>
      </c>
      <c r="AF52" s="69" t="s">
        <v>1132</v>
      </c>
      <c r="AG52" s="69" t="s">
        <v>1132</v>
      </c>
      <c r="AH52" s="69" t="s">
        <v>1132</v>
      </c>
      <c r="AI52" s="69" t="s">
        <v>1132</v>
      </c>
      <c r="AJ52" s="69" t="s">
        <v>1132</v>
      </c>
    </row>
    <row r="53" spans="1:36" x14ac:dyDescent="0.25">
      <c r="A53">
        <v>34051</v>
      </c>
      <c r="B53" s="85" t="str">
        <f>VLOOKUP(A53,ADM!$A$1:$R$343,14,0)</f>
        <v>CC du Clermontais</v>
      </c>
      <c r="C53" t="s">
        <v>325</v>
      </c>
      <c r="D53" s="8" t="s">
        <v>115</v>
      </c>
      <c r="E53" s="4">
        <v>0.1</v>
      </c>
      <c r="I53" s="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69">
        <v>1544</v>
      </c>
      <c r="AE53" s="69">
        <v>107</v>
      </c>
      <c r="AF53" s="69">
        <v>66</v>
      </c>
      <c r="AG53" s="69">
        <v>41</v>
      </c>
      <c r="AH53" s="69">
        <v>6.9300518134715023</v>
      </c>
      <c r="AI53" s="69">
        <v>4.2746113989637307</v>
      </c>
      <c r="AJ53" s="69">
        <v>2.6554404145077721</v>
      </c>
    </row>
    <row r="54" spans="1:36" x14ac:dyDescent="0.25">
      <c r="A54">
        <v>34052</v>
      </c>
      <c r="B54" s="85" t="str">
        <f>VLOOKUP(A54,ADM!$A$1:$R$343,14,0)</f>
        <v>CC Sud-Hérault</v>
      </c>
      <c r="C54" t="s">
        <v>328</v>
      </c>
      <c r="D54" s="8" t="s">
        <v>115</v>
      </c>
      <c r="E54" s="4">
        <v>0.158</v>
      </c>
      <c r="I54" s="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 s="69">
        <v>1882</v>
      </c>
      <c r="AE54" s="69">
        <v>229</v>
      </c>
      <c r="AF54" s="69">
        <v>123</v>
      </c>
      <c r="AG54" s="69">
        <v>106</v>
      </c>
      <c r="AH54" s="69">
        <v>12.167906482465462</v>
      </c>
      <c r="AI54" s="69">
        <v>6.5356004250797035</v>
      </c>
      <c r="AJ54" s="69">
        <v>5.63230605738576</v>
      </c>
    </row>
    <row r="55" spans="1:36" x14ac:dyDescent="0.25">
      <c r="A55">
        <v>34053</v>
      </c>
      <c r="B55" s="85" t="str">
        <f>VLOOKUP(A55,ADM!$A$1:$R$343,14,0)</f>
        <v>CC Grand Orb en Languedoc</v>
      </c>
      <c r="C55" t="s">
        <v>332</v>
      </c>
      <c r="D55" s="8" t="s">
        <v>115</v>
      </c>
      <c r="E55" s="4" t="s">
        <v>1132</v>
      </c>
      <c r="I55" s="8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 s="69" t="s">
        <v>1132</v>
      </c>
      <c r="AE55" s="69" t="s">
        <v>1132</v>
      </c>
      <c r="AF55" s="69" t="s">
        <v>1132</v>
      </c>
      <c r="AG55" s="69" t="s">
        <v>1132</v>
      </c>
      <c r="AH55" s="69" t="s">
        <v>1132</v>
      </c>
      <c r="AI55" s="69" t="s">
        <v>1132</v>
      </c>
      <c r="AJ55" s="69" t="s">
        <v>1132</v>
      </c>
    </row>
    <row r="56" spans="1:36" x14ac:dyDescent="0.25">
      <c r="A56">
        <v>34054</v>
      </c>
      <c r="B56" s="85" t="str">
        <f>VLOOKUP(A56,ADM!$A$1:$R$343,14,0)</f>
        <v>CC Du Minervois au Caroux en Haut-Languedoc</v>
      </c>
      <c r="C56" t="s">
        <v>334</v>
      </c>
      <c r="D56" s="8" t="s">
        <v>115</v>
      </c>
      <c r="E56" s="4" t="s">
        <v>1132</v>
      </c>
      <c r="I56" s="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69" t="s">
        <v>1132</v>
      </c>
      <c r="AE56" s="69" t="s">
        <v>1132</v>
      </c>
      <c r="AF56" s="69" t="s">
        <v>1132</v>
      </c>
      <c r="AG56" s="69" t="s">
        <v>1132</v>
      </c>
      <c r="AH56" s="69" t="s">
        <v>1132</v>
      </c>
      <c r="AI56" s="69" t="s">
        <v>1132</v>
      </c>
      <c r="AJ56" s="69" t="s">
        <v>1132</v>
      </c>
    </row>
    <row r="57" spans="1:36" x14ac:dyDescent="0.25">
      <c r="A57">
        <v>34055</v>
      </c>
      <c r="B57" s="85" t="str">
        <f>VLOOKUP(A57,ADM!$A$1:$R$343,14,0)</f>
        <v>CC des Monts de Lacaune et de la Montagne du Haut Languedoc</v>
      </c>
      <c r="C57" t="s">
        <v>336</v>
      </c>
      <c r="D57" s="8" t="s">
        <v>115</v>
      </c>
      <c r="E57" s="4" t="s">
        <v>1132</v>
      </c>
      <c r="I57" s="8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 s="69">
        <v>211</v>
      </c>
      <c r="AE57" s="69">
        <v>25</v>
      </c>
      <c r="AF57" s="69">
        <v>12</v>
      </c>
      <c r="AG57" s="69">
        <v>13</v>
      </c>
      <c r="AH57" s="69">
        <v>11.848341232227488</v>
      </c>
      <c r="AI57" s="69">
        <v>5.6872037914691944</v>
      </c>
      <c r="AJ57" s="69">
        <v>6.1611374407582939</v>
      </c>
    </row>
    <row r="58" spans="1:36" x14ac:dyDescent="0.25">
      <c r="A58">
        <v>34056</v>
      </c>
      <c r="B58" s="85" t="str">
        <f>VLOOKUP(A58,ADM!$A$1:$R$343,14,0)</f>
        <v>CA Hérault-Méditerranée</v>
      </c>
      <c r="C58" t="s">
        <v>339</v>
      </c>
      <c r="D58" s="8" t="s">
        <v>115</v>
      </c>
      <c r="E58" s="4">
        <v>0.16400000000000001</v>
      </c>
      <c r="I58" s="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69" t="s">
        <v>1132</v>
      </c>
      <c r="AE58" s="69" t="s">
        <v>1132</v>
      </c>
      <c r="AF58" s="69" t="s">
        <v>1132</v>
      </c>
      <c r="AG58" s="69" t="s">
        <v>1132</v>
      </c>
      <c r="AH58" s="69" t="s">
        <v>1132</v>
      </c>
      <c r="AI58" s="69" t="s">
        <v>1132</v>
      </c>
      <c r="AJ58" s="69" t="s">
        <v>1132</v>
      </c>
    </row>
    <row r="59" spans="1:36" x14ac:dyDescent="0.25">
      <c r="A59">
        <v>34057</v>
      </c>
      <c r="B59" s="85" t="str">
        <f>VLOOKUP(A59,ADM!$A$1:$R$343,14,0)</f>
        <v>Montpellier Méditerranée Métropole</v>
      </c>
      <c r="C59" t="s">
        <v>341</v>
      </c>
      <c r="D59" s="8" t="s">
        <v>195</v>
      </c>
      <c r="E59" s="4">
        <v>2.3E-2</v>
      </c>
      <c r="I59" s="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 s="69">
        <v>11219</v>
      </c>
      <c r="AE59" s="69">
        <v>1016</v>
      </c>
      <c r="AF59" s="69">
        <v>935</v>
      </c>
      <c r="AG59" s="69">
        <v>81</v>
      </c>
      <c r="AH59" s="69">
        <v>9.05606560299492</v>
      </c>
      <c r="AI59" s="69">
        <v>8.3340761208663885</v>
      </c>
      <c r="AJ59" s="69">
        <v>0.72198948212853198</v>
      </c>
    </row>
    <row r="60" spans="1:36" x14ac:dyDescent="0.25">
      <c r="A60">
        <v>34058</v>
      </c>
      <c r="B60" s="85" t="str">
        <f>VLOOKUP(A60,ADM!$A$1:$R$343,14,0)</f>
        <v>Montpellier Méditerranée Métropole</v>
      </c>
      <c r="C60" t="s">
        <v>348</v>
      </c>
      <c r="D60" s="8" t="s">
        <v>135</v>
      </c>
      <c r="E60" s="4">
        <v>4.1000000000000002E-2</v>
      </c>
      <c r="I60" s="8">
        <v>0</v>
      </c>
      <c r="J60">
        <v>1</v>
      </c>
      <c r="K60">
        <v>0</v>
      </c>
      <c r="L60">
        <v>0</v>
      </c>
      <c r="M60">
        <v>2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 s="69">
        <v>2686</v>
      </c>
      <c r="AE60" s="69">
        <v>177</v>
      </c>
      <c r="AF60" s="69">
        <v>138</v>
      </c>
      <c r="AG60" s="69">
        <v>39</v>
      </c>
      <c r="AH60" s="69">
        <v>6.5897244973938935</v>
      </c>
      <c r="AI60" s="69">
        <v>5.137751303052867</v>
      </c>
      <c r="AJ60" s="69">
        <v>1.4519731943410277</v>
      </c>
    </row>
    <row r="61" spans="1:36" x14ac:dyDescent="0.25">
      <c r="A61">
        <v>34059</v>
      </c>
      <c r="B61" s="85" t="str">
        <f>VLOOKUP(A61,ADM!$A$1:$R$343,14,0)</f>
        <v>CC Du Minervois au Caroux en Haut-Languedoc</v>
      </c>
      <c r="C61" t="s">
        <v>353</v>
      </c>
      <c r="D61" s="8" t="s">
        <v>115</v>
      </c>
      <c r="E61" s="4">
        <v>0.19700000000000001</v>
      </c>
      <c r="I61" s="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69">
        <v>268</v>
      </c>
      <c r="AE61" s="69">
        <v>40</v>
      </c>
      <c r="AF61" s="69">
        <v>16</v>
      </c>
      <c r="AG61" s="69">
        <v>24</v>
      </c>
      <c r="AH61" s="69">
        <v>14.925373134328357</v>
      </c>
      <c r="AI61" s="69">
        <v>5.9701492537313428</v>
      </c>
      <c r="AJ61" s="69">
        <v>8.9552238805970141</v>
      </c>
    </row>
    <row r="62" spans="1:36" x14ac:dyDescent="0.25">
      <c r="A62">
        <v>34060</v>
      </c>
      <c r="B62" s="85" t="str">
        <f>VLOOKUP(A62,ADM!$A$1:$R$343,14,0)</f>
        <v>CC du Grand Pic Saint-Loup</v>
      </c>
      <c r="C62" t="s">
        <v>355</v>
      </c>
      <c r="D62" s="8" t="s">
        <v>115</v>
      </c>
      <c r="E62" s="4" t="s">
        <v>1132</v>
      </c>
      <c r="I62" s="8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69" t="s">
        <v>1132</v>
      </c>
      <c r="AE62" s="69" t="s">
        <v>1132</v>
      </c>
      <c r="AF62" s="69" t="s">
        <v>1132</v>
      </c>
      <c r="AG62" s="69" t="s">
        <v>1132</v>
      </c>
      <c r="AH62" s="69" t="s">
        <v>1132</v>
      </c>
      <c r="AI62" s="69" t="s">
        <v>1132</v>
      </c>
      <c r="AJ62" s="69" t="s">
        <v>1132</v>
      </c>
    </row>
    <row r="63" spans="1:36" x14ac:dyDescent="0.25">
      <c r="A63">
        <v>34061</v>
      </c>
      <c r="B63" s="85" t="str">
        <f>VLOOKUP(A63,ADM!$A$1:$R$343,14,0)</f>
        <v>CC les Avant-Monts</v>
      </c>
      <c r="C63" t="s">
        <v>357</v>
      </c>
      <c r="D63" s="8" t="s">
        <v>115</v>
      </c>
      <c r="E63" s="4">
        <v>0.245</v>
      </c>
      <c r="I63" s="8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 s="69">
        <v>463</v>
      </c>
      <c r="AE63" s="69">
        <v>48</v>
      </c>
      <c r="AF63" s="69">
        <v>26</v>
      </c>
      <c r="AG63" s="69">
        <v>22</v>
      </c>
      <c r="AH63" s="69">
        <v>10.367170626349893</v>
      </c>
      <c r="AI63" s="69">
        <v>5.615550755939525</v>
      </c>
      <c r="AJ63" s="69">
        <v>4.7516198704103676</v>
      </c>
    </row>
    <row r="64" spans="1:36" x14ac:dyDescent="0.25">
      <c r="A64">
        <v>34062</v>
      </c>
      <c r="B64" s="85" t="str">
        <f>VLOOKUP(A64,ADM!$A$1:$R$343,14,0)</f>
        <v>CC les Avant-Monts</v>
      </c>
      <c r="C64" t="s">
        <v>359</v>
      </c>
      <c r="D64" s="8" t="s">
        <v>115</v>
      </c>
      <c r="E64" s="4" t="s">
        <v>1132</v>
      </c>
      <c r="I64" s="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 s="69" t="s">
        <v>1132</v>
      </c>
      <c r="AE64" s="69" t="s">
        <v>1132</v>
      </c>
      <c r="AF64" s="69" t="s">
        <v>1132</v>
      </c>
      <c r="AG64" s="69" t="s">
        <v>1132</v>
      </c>
      <c r="AH64" s="69" t="s">
        <v>1132</v>
      </c>
      <c r="AI64" s="69" t="s">
        <v>1132</v>
      </c>
      <c r="AJ64" s="69" t="s">
        <v>1132</v>
      </c>
    </row>
    <row r="65" spans="1:36" x14ac:dyDescent="0.25">
      <c r="A65">
        <v>34063</v>
      </c>
      <c r="B65" s="85" t="str">
        <f>VLOOKUP(A65,ADM!$A$1:$R$343,14,0)</f>
        <v>CA Hérault-Méditerranée</v>
      </c>
      <c r="C65" t="s">
        <v>361</v>
      </c>
      <c r="D65" s="8" t="s">
        <v>115</v>
      </c>
      <c r="E65" s="4">
        <v>0.123</v>
      </c>
      <c r="I65" s="8">
        <v>0</v>
      </c>
      <c r="J65">
        <v>1</v>
      </c>
      <c r="K65">
        <v>0</v>
      </c>
      <c r="L65">
        <v>0</v>
      </c>
      <c r="M65">
        <v>1</v>
      </c>
      <c r="N65">
        <v>0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69">
        <v>1525</v>
      </c>
      <c r="AE65" s="69">
        <v>138</v>
      </c>
      <c r="AF65" s="69">
        <v>84</v>
      </c>
      <c r="AG65" s="69">
        <v>54</v>
      </c>
      <c r="AH65" s="69">
        <v>9.0491803278688518</v>
      </c>
      <c r="AI65" s="69">
        <v>5.5081967213114762</v>
      </c>
      <c r="AJ65" s="69">
        <v>3.540983606557377</v>
      </c>
    </row>
    <row r="66" spans="1:36" x14ac:dyDescent="0.25">
      <c r="A66">
        <v>34064</v>
      </c>
      <c r="B66" s="85" t="str">
        <f>VLOOKUP(A66,ADM!$A$1:$R$343,14,0)</f>
        <v>CC Lodévois et Larzac</v>
      </c>
      <c r="C66" t="s">
        <v>363</v>
      </c>
      <c r="D66" s="8" t="s">
        <v>115</v>
      </c>
      <c r="E66" s="4">
        <v>0.17499999999999999</v>
      </c>
      <c r="I66" s="8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 s="69">
        <v>313</v>
      </c>
      <c r="AE66" s="69">
        <v>40</v>
      </c>
      <c r="AF66" s="69">
        <v>16</v>
      </c>
      <c r="AG66" s="69">
        <v>24</v>
      </c>
      <c r="AH66" s="69">
        <v>12.779552715654951</v>
      </c>
      <c r="AI66" s="69">
        <v>5.1118210862619806</v>
      </c>
      <c r="AJ66" s="69">
        <v>7.6677316293929714</v>
      </c>
    </row>
    <row r="67" spans="1:36" x14ac:dyDescent="0.25">
      <c r="A67">
        <v>34065</v>
      </c>
      <c r="B67" s="85" t="str">
        <f>VLOOKUP(A67,ADM!$A$1:$R$343,14,0)</f>
        <v>CC Sud-Hérault</v>
      </c>
      <c r="C67" t="s">
        <v>367</v>
      </c>
      <c r="D67" s="8" t="s">
        <v>115</v>
      </c>
      <c r="E67" s="4">
        <v>0.17799999999999999</v>
      </c>
      <c r="I67" s="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 s="69">
        <v>330</v>
      </c>
      <c r="AE67" s="69">
        <v>40</v>
      </c>
      <c r="AF67" s="69">
        <v>12</v>
      </c>
      <c r="AG67" s="69">
        <v>28</v>
      </c>
      <c r="AH67" s="69">
        <v>12.121212121212121</v>
      </c>
      <c r="AI67" s="69">
        <v>3.6363636363636362</v>
      </c>
      <c r="AJ67" s="69">
        <v>8.4848484848484862</v>
      </c>
    </row>
    <row r="68" spans="1:36" x14ac:dyDescent="0.25">
      <c r="A68">
        <v>34066</v>
      </c>
      <c r="B68" s="85" t="str">
        <f>VLOOKUP(A68,ADM!$A$1:$R$343,14,0)</f>
        <v>CC du Grand Pic Saint-Loup</v>
      </c>
      <c r="C68" t="s">
        <v>369</v>
      </c>
      <c r="D68" s="8" t="s">
        <v>115</v>
      </c>
      <c r="E68" s="4" t="s">
        <v>1132</v>
      </c>
      <c r="I68" s="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69" t="s">
        <v>1132</v>
      </c>
      <c r="AE68" s="69" t="s">
        <v>1132</v>
      </c>
      <c r="AF68" s="69" t="s">
        <v>1132</v>
      </c>
      <c r="AG68" s="69" t="s">
        <v>1132</v>
      </c>
      <c r="AH68" s="69" t="s">
        <v>1132</v>
      </c>
      <c r="AI68" s="69" t="s">
        <v>1132</v>
      </c>
      <c r="AJ68" s="69" t="s">
        <v>1132</v>
      </c>
    </row>
    <row r="69" spans="1:36" x14ac:dyDescent="0.25">
      <c r="A69">
        <v>34067</v>
      </c>
      <c r="B69" s="85" t="str">
        <f>VLOOKUP(A69,ADM!$A$1:$R$343,14,0)</f>
        <v>CC des Cévennes Gangeoises et Suménoises</v>
      </c>
      <c r="C69" t="s">
        <v>371</v>
      </c>
      <c r="D69" s="8" t="s">
        <v>115</v>
      </c>
      <c r="E69" s="4">
        <v>6.5000000000000002E-2</v>
      </c>
      <c r="I69" s="8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69">
        <v>851</v>
      </c>
      <c r="AE69" s="69">
        <v>85</v>
      </c>
      <c r="AF69" s="69">
        <v>50</v>
      </c>
      <c r="AG69" s="69">
        <v>35</v>
      </c>
      <c r="AH69" s="69">
        <v>9.9882491186838998</v>
      </c>
      <c r="AI69" s="69">
        <v>5.8754406580493539</v>
      </c>
      <c r="AJ69" s="69">
        <v>4.1128084606345476</v>
      </c>
    </row>
    <row r="70" spans="1:36" x14ac:dyDescent="0.25">
      <c r="A70">
        <v>34068</v>
      </c>
      <c r="B70" s="85" t="str">
        <f>VLOOKUP(A70,ADM!$A$1:$R$343,14,0)</f>
        <v>CA Hérault-Méditerranée</v>
      </c>
      <c r="C70" t="s">
        <v>373</v>
      </c>
      <c r="D70" s="8" t="s">
        <v>115</v>
      </c>
      <c r="E70" s="4">
        <v>0.222</v>
      </c>
      <c r="I70" s="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 s="69" t="s">
        <v>1132</v>
      </c>
      <c r="AE70" s="69" t="s">
        <v>1132</v>
      </c>
      <c r="AF70" s="69" t="s">
        <v>1132</v>
      </c>
      <c r="AG70" s="69" t="s">
        <v>1132</v>
      </c>
      <c r="AH70" s="69" t="s">
        <v>1132</v>
      </c>
      <c r="AI70" s="69" t="s">
        <v>1132</v>
      </c>
      <c r="AJ70" s="69" t="s">
        <v>1132</v>
      </c>
    </row>
    <row r="71" spans="1:36" x14ac:dyDescent="0.25">
      <c r="A71">
        <v>34069</v>
      </c>
      <c r="B71" s="85" t="str">
        <f>VLOOKUP(A71,ADM!$A$1:$R$343,14,0)</f>
        <v>CC la Domitienne</v>
      </c>
      <c r="C71" t="s">
        <v>375</v>
      </c>
      <c r="D71" s="8" t="s">
        <v>115</v>
      </c>
      <c r="E71" s="4">
        <v>0.113</v>
      </c>
      <c r="I71" s="8">
        <v>0</v>
      </c>
      <c r="J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 s="69">
        <v>2603</v>
      </c>
      <c r="AE71" s="69">
        <v>288</v>
      </c>
      <c r="AF71" s="69">
        <v>131</v>
      </c>
      <c r="AG71" s="69">
        <v>157</v>
      </c>
      <c r="AH71" s="69">
        <v>11.064156742220515</v>
      </c>
      <c r="AI71" s="69">
        <v>5.0326546292739147</v>
      </c>
      <c r="AJ71" s="69">
        <v>6.0315021129466002</v>
      </c>
    </row>
    <row r="72" spans="1:36" x14ac:dyDescent="0.25">
      <c r="A72">
        <v>34070</v>
      </c>
      <c r="B72" s="85" t="str">
        <f>VLOOKUP(A72,ADM!$A$1:$R$343,14,0)</f>
        <v>CC Sud-Hérault</v>
      </c>
      <c r="C72" t="s">
        <v>380</v>
      </c>
      <c r="D72" s="8" t="s">
        <v>115</v>
      </c>
      <c r="E72" s="4">
        <v>0.15</v>
      </c>
      <c r="I72" s="8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2</v>
      </c>
      <c r="W72">
        <v>0</v>
      </c>
      <c r="X72">
        <v>0</v>
      </c>
      <c r="Y72">
        <v>0</v>
      </c>
      <c r="Z72">
        <v>0</v>
      </c>
      <c r="AA72">
        <v>0</v>
      </c>
      <c r="AB72">
        <v>2</v>
      </c>
      <c r="AC72">
        <v>0</v>
      </c>
      <c r="AD72" s="69">
        <v>374</v>
      </c>
      <c r="AE72" s="69">
        <v>50</v>
      </c>
      <c r="AF72" s="69">
        <v>17</v>
      </c>
      <c r="AG72" s="69">
        <v>33</v>
      </c>
      <c r="AH72" s="69">
        <v>13.368983957219251</v>
      </c>
      <c r="AI72" s="69">
        <v>4.5454545454545459</v>
      </c>
      <c r="AJ72" s="69">
        <v>8.8235294117647065</v>
      </c>
    </row>
    <row r="73" spans="1:36" x14ac:dyDescent="0.25">
      <c r="A73">
        <v>34071</v>
      </c>
      <c r="B73" s="85" t="str">
        <f>VLOOKUP(A73,ADM!$A$1:$R$343,14,0)</f>
        <v>CC Grand Orb en Languedoc</v>
      </c>
      <c r="C73" t="s">
        <v>383</v>
      </c>
      <c r="D73" s="8" t="s">
        <v>115</v>
      </c>
      <c r="E73" s="4">
        <v>0.29499999999999998</v>
      </c>
      <c r="I73" s="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 s="69">
        <v>328</v>
      </c>
      <c r="AE73" s="69">
        <v>41</v>
      </c>
      <c r="AF73" s="69">
        <v>21</v>
      </c>
      <c r="AG73" s="69">
        <v>20</v>
      </c>
      <c r="AH73" s="69">
        <v>12.5</v>
      </c>
      <c r="AI73" s="69">
        <v>6.4024390243902438</v>
      </c>
      <c r="AJ73" s="69">
        <v>6.0975609756097562</v>
      </c>
    </row>
    <row r="74" spans="1:36" x14ac:dyDescent="0.25">
      <c r="A74">
        <v>34072</v>
      </c>
      <c r="B74" s="85" t="str">
        <f>VLOOKUP(A74,ADM!$A$1:$R$343,14,0)</f>
        <v>CC Lodévois et Larzac</v>
      </c>
      <c r="C74" t="s">
        <v>385</v>
      </c>
      <c r="D74" s="8" t="s">
        <v>115</v>
      </c>
      <c r="E74" s="4" t="s">
        <v>1132</v>
      </c>
      <c r="I74" s="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 s="69" t="s">
        <v>1132</v>
      </c>
      <c r="AE74" s="69" t="s">
        <v>1132</v>
      </c>
      <c r="AF74" s="69" t="s">
        <v>1132</v>
      </c>
      <c r="AG74" s="69" t="s">
        <v>1132</v>
      </c>
      <c r="AH74" s="69" t="s">
        <v>1132</v>
      </c>
      <c r="AI74" s="69" t="s">
        <v>1132</v>
      </c>
      <c r="AJ74" s="69" t="s">
        <v>1132</v>
      </c>
    </row>
    <row r="75" spans="1:36" x14ac:dyDescent="0.25">
      <c r="A75">
        <v>34073</v>
      </c>
      <c r="B75" s="85" t="str">
        <f>VLOOKUP(A75,ADM!$A$1:$R$343,14,0)</f>
        <v>CA de Béziers-Méditerranée</v>
      </c>
      <c r="C75" t="s">
        <v>387</v>
      </c>
      <c r="D75" s="8" t="s">
        <v>243</v>
      </c>
      <c r="E75" s="4">
        <v>0.1</v>
      </c>
      <c r="I75" s="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 s="69">
        <v>1168</v>
      </c>
      <c r="AE75" s="69">
        <v>76</v>
      </c>
      <c r="AF75" s="69">
        <v>52</v>
      </c>
      <c r="AG75" s="69">
        <v>24</v>
      </c>
      <c r="AH75" s="69">
        <v>6.506849315068493</v>
      </c>
      <c r="AI75" s="69">
        <v>4.4520547945205475</v>
      </c>
      <c r="AJ75" s="69">
        <v>2.054794520547945</v>
      </c>
    </row>
    <row r="76" spans="1:36" x14ac:dyDescent="0.25">
      <c r="A76">
        <v>34074</v>
      </c>
      <c r="B76" s="85" t="str">
        <f>VLOOKUP(A76,ADM!$A$1:$R$343,14,0)</f>
        <v>CC Sud-Hérault</v>
      </c>
      <c r="C76" t="s">
        <v>391</v>
      </c>
      <c r="D76" s="8" t="s">
        <v>115</v>
      </c>
      <c r="E76" s="4">
        <v>0.151</v>
      </c>
      <c r="I76" s="8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69">
        <v>1472</v>
      </c>
      <c r="AE76" s="69">
        <v>160</v>
      </c>
      <c r="AF76" s="69">
        <v>63</v>
      </c>
      <c r="AG76" s="69">
        <v>97</v>
      </c>
      <c r="AH76" s="69">
        <v>10.869565217391305</v>
      </c>
      <c r="AI76" s="69">
        <v>4.2798913043478262</v>
      </c>
      <c r="AJ76" s="69">
        <v>6.5896739130434785</v>
      </c>
    </row>
    <row r="77" spans="1:36" x14ac:dyDescent="0.25">
      <c r="A77">
        <v>34075</v>
      </c>
      <c r="B77" s="85" t="str">
        <f>VLOOKUP(A77,ADM!$A$1:$R$343,14,0)</f>
        <v>CC Du Minervois au Caroux en Haut-Languedoc</v>
      </c>
      <c r="C77" t="s">
        <v>394</v>
      </c>
      <c r="D77" s="8" t="s">
        <v>115</v>
      </c>
      <c r="E77" s="4">
        <v>0.16800000000000001</v>
      </c>
      <c r="I77" s="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1</v>
      </c>
      <c r="W77">
        <v>0</v>
      </c>
      <c r="X77">
        <v>0</v>
      </c>
      <c r="Y77">
        <v>0</v>
      </c>
      <c r="Z77">
        <v>0</v>
      </c>
      <c r="AA77">
        <v>0</v>
      </c>
      <c r="AB77">
        <v>1</v>
      </c>
      <c r="AC77">
        <v>0</v>
      </c>
      <c r="AD77" s="69">
        <v>349</v>
      </c>
      <c r="AE77" s="69">
        <v>47</v>
      </c>
      <c r="AF77" s="69">
        <v>17</v>
      </c>
      <c r="AG77" s="69">
        <v>30</v>
      </c>
      <c r="AH77" s="69">
        <v>13.46704871060172</v>
      </c>
      <c r="AI77" s="69">
        <v>4.8710601719197708</v>
      </c>
      <c r="AJ77" s="69">
        <v>8.5959885386819472</v>
      </c>
    </row>
    <row r="78" spans="1:36" x14ac:dyDescent="0.25">
      <c r="A78">
        <v>34076</v>
      </c>
      <c r="B78" s="85" t="str">
        <f>VLOOKUP(A78,ADM!$A$1:$R$343,14,0)</f>
        <v>CC du Clermontais</v>
      </c>
      <c r="C78" t="s">
        <v>396</v>
      </c>
      <c r="D78" s="8" t="s">
        <v>115</v>
      </c>
      <c r="E78" s="4">
        <v>0.111</v>
      </c>
      <c r="I78" s="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 s="69">
        <v>635</v>
      </c>
      <c r="AE78" s="69">
        <v>38</v>
      </c>
      <c r="AF78" s="69">
        <v>20</v>
      </c>
      <c r="AG78" s="69">
        <v>18</v>
      </c>
      <c r="AH78" s="69">
        <v>5.984251968503937</v>
      </c>
      <c r="AI78" s="69">
        <v>3.1496062992125982</v>
      </c>
      <c r="AJ78" s="69">
        <v>2.8346456692913384</v>
      </c>
    </row>
    <row r="79" spans="1:36" x14ac:dyDescent="0.25">
      <c r="A79">
        <v>34077</v>
      </c>
      <c r="B79" s="85" t="str">
        <f>VLOOKUP(A79,ADM!$A$1:$R$343,14,0)</f>
        <v>Montpellier Méditerranée Métropole</v>
      </c>
      <c r="C79" t="s">
        <v>398</v>
      </c>
      <c r="D79" s="8" t="s">
        <v>195</v>
      </c>
      <c r="E79" s="4">
        <v>8.9999999999999993E-3</v>
      </c>
      <c r="I79" s="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 s="69">
        <v>2119</v>
      </c>
      <c r="AE79" s="69">
        <v>119</v>
      </c>
      <c r="AF79" s="69">
        <v>98</v>
      </c>
      <c r="AG79" s="69">
        <v>21</v>
      </c>
      <c r="AH79" s="69">
        <v>5.6158565361019344</v>
      </c>
      <c r="AI79" s="69">
        <v>4.6248230297310053</v>
      </c>
      <c r="AJ79" s="69">
        <v>0.9910335063709298</v>
      </c>
    </row>
    <row r="80" spans="1:36" x14ac:dyDescent="0.25">
      <c r="A80">
        <v>34078</v>
      </c>
      <c r="B80" s="85" t="str">
        <f>VLOOKUP(A80,ADM!$A$1:$R$343,14,0)</f>
        <v>CC du Grand Pic Saint-Loup</v>
      </c>
      <c r="C80" t="s">
        <v>403</v>
      </c>
      <c r="D80" s="8" t="s">
        <v>115</v>
      </c>
      <c r="E80" s="4">
        <v>4.2999999999999997E-2</v>
      </c>
      <c r="I80" s="8">
        <v>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 s="69">
        <v>810</v>
      </c>
      <c r="AE80" s="69">
        <v>50</v>
      </c>
      <c r="AF80" s="69">
        <v>31</v>
      </c>
      <c r="AG80" s="69">
        <v>19</v>
      </c>
      <c r="AH80" s="69">
        <v>6.1728395061728394</v>
      </c>
      <c r="AI80" s="69">
        <v>3.8271604938271606</v>
      </c>
      <c r="AJ80" s="69">
        <v>2.3456790123456792</v>
      </c>
    </row>
    <row r="81" spans="1:36" x14ac:dyDescent="0.25">
      <c r="A81">
        <v>34079</v>
      </c>
      <c r="B81" s="85" t="str">
        <f>VLOOKUP(A81,ADM!$A$1:$R$343,14,0)</f>
        <v>CC du Clermontais</v>
      </c>
      <c r="C81" t="s">
        <v>406</v>
      </c>
      <c r="D81" s="8" t="s">
        <v>115</v>
      </c>
      <c r="E81" s="4">
        <v>0.11600000000000001</v>
      </c>
      <c r="I81" s="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1</v>
      </c>
      <c r="W81">
        <v>0</v>
      </c>
      <c r="X81">
        <v>0</v>
      </c>
      <c r="Y81">
        <v>0</v>
      </c>
      <c r="Z81">
        <v>0</v>
      </c>
      <c r="AA81">
        <v>0</v>
      </c>
      <c r="AB81">
        <v>1</v>
      </c>
      <c r="AC81">
        <v>0</v>
      </c>
      <c r="AD81" s="69">
        <v>4540</v>
      </c>
      <c r="AE81" s="69">
        <v>558</v>
      </c>
      <c r="AF81" s="69">
        <v>271</v>
      </c>
      <c r="AG81" s="69">
        <v>287</v>
      </c>
      <c r="AH81" s="69">
        <v>12.290748898678414</v>
      </c>
      <c r="AI81" s="69">
        <v>5.9691629955947141</v>
      </c>
      <c r="AJ81" s="69">
        <v>6.3215859030837001</v>
      </c>
    </row>
    <row r="82" spans="1:36" x14ac:dyDescent="0.25">
      <c r="A82">
        <v>34080</v>
      </c>
      <c r="B82" s="85" t="str">
        <f>VLOOKUP(A82,ADM!$A$1:$R$343,14,0)</f>
        <v>CC Du Minervois au Caroux en Haut-Languedoc</v>
      </c>
      <c r="C82" t="s">
        <v>410</v>
      </c>
      <c r="D82" s="8" t="s">
        <v>115</v>
      </c>
      <c r="E82" s="4">
        <v>7.4999999999999997E-2</v>
      </c>
      <c r="I82" s="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2</v>
      </c>
      <c r="Q82">
        <v>0</v>
      </c>
      <c r="R82">
        <v>0</v>
      </c>
      <c r="S82">
        <v>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 s="69">
        <v>370</v>
      </c>
      <c r="AE82" s="69">
        <v>28</v>
      </c>
      <c r="AF82" s="69">
        <v>11</v>
      </c>
      <c r="AG82" s="69">
        <v>17</v>
      </c>
      <c r="AH82" s="69">
        <v>7.5675675675675684</v>
      </c>
      <c r="AI82" s="69">
        <v>2.9729729729729732</v>
      </c>
      <c r="AJ82" s="69">
        <v>4.5945945945945947</v>
      </c>
    </row>
    <row r="83" spans="1:36" x14ac:dyDescent="0.25">
      <c r="A83">
        <v>34081</v>
      </c>
      <c r="B83" s="85" t="str">
        <f>VLOOKUP(A83,ADM!$A$1:$R$343,14,0)</f>
        <v>CC la Domitienne</v>
      </c>
      <c r="C83" t="s">
        <v>412</v>
      </c>
      <c r="D83" s="8" t="s">
        <v>115</v>
      </c>
      <c r="E83" s="4">
        <v>8.1000000000000003E-2</v>
      </c>
      <c r="I83" s="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 s="69">
        <v>1255</v>
      </c>
      <c r="AE83" s="69">
        <v>98</v>
      </c>
      <c r="AF83" s="69">
        <v>53</v>
      </c>
      <c r="AG83" s="69">
        <v>45</v>
      </c>
      <c r="AH83" s="69">
        <v>7.808764940239044</v>
      </c>
      <c r="AI83" s="69">
        <v>4.2231075697211153</v>
      </c>
      <c r="AJ83" s="69">
        <v>3.5856573705179287</v>
      </c>
    </row>
    <row r="84" spans="1:36" x14ac:dyDescent="0.25">
      <c r="A84">
        <v>34082</v>
      </c>
      <c r="B84" s="85" t="str">
        <f>VLOOKUP(A84,ADM!$A$1:$R$343,14,0)</f>
        <v>CC du Grand Pic Saint-Loup</v>
      </c>
      <c r="C84" t="s">
        <v>416</v>
      </c>
      <c r="D84" s="8" t="s">
        <v>115</v>
      </c>
      <c r="E84" s="4" t="s">
        <v>1132</v>
      </c>
      <c r="I84" s="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 s="69">
        <v>756</v>
      </c>
      <c r="AE84" s="69">
        <v>33</v>
      </c>
      <c r="AF84" s="69">
        <v>22</v>
      </c>
      <c r="AG84" s="69">
        <v>11</v>
      </c>
      <c r="AH84" s="69">
        <v>4.3650793650793647</v>
      </c>
      <c r="AI84" s="69">
        <v>2.9100529100529098</v>
      </c>
      <c r="AJ84" s="69">
        <v>1.4550264550264549</v>
      </c>
    </row>
    <row r="85" spans="1:36" x14ac:dyDescent="0.25">
      <c r="A85">
        <v>34083</v>
      </c>
      <c r="B85" s="85" t="str">
        <f>VLOOKUP(A85,ADM!$A$1:$R$343,14,0)</f>
        <v>CC Grand Orb en Languedoc</v>
      </c>
      <c r="C85" t="s">
        <v>419</v>
      </c>
      <c r="D85" s="8" t="s">
        <v>115</v>
      </c>
      <c r="E85" s="4">
        <v>0.21199999999999999</v>
      </c>
      <c r="I85" s="8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 s="69" t="s">
        <v>1132</v>
      </c>
      <c r="AE85" s="69" t="s">
        <v>1132</v>
      </c>
      <c r="AF85" s="69" t="s">
        <v>1132</v>
      </c>
      <c r="AG85" s="69" t="s">
        <v>1132</v>
      </c>
      <c r="AH85" s="69" t="s">
        <v>1132</v>
      </c>
      <c r="AI85" s="69" t="s">
        <v>1132</v>
      </c>
      <c r="AJ85" s="69" t="s">
        <v>1132</v>
      </c>
    </row>
    <row r="86" spans="1:36" x14ac:dyDescent="0.25">
      <c r="A86">
        <v>34084</v>
      </c>
      <c r="B86" s="85" t="str">
        <f>VLOOKUP(A86,ADM!$A$1:$R$343,14,0)</f>
        <v>CA de Béziers-Méditerranée</v>
      </c>
      <c r="C86" t="s">
        <v>421</v>
      </c>
      <c r="D86" s="8" t="s">
        <v>243</v>
      </c>
      <c r="E86" s="4">
        <v>0.10299999999999999</v>
      </c>
      <c r="I86" s="8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 s="69">
        <v>907</v>
      </c>
      <c r="AE86" s="69">
        <v>96</v>
      </c>
      <c r="AF86" s="69">
        <v>49</v>
      </c>
      <c r="AG86" s="69">
        <v>47</v>
      </c>
      <c r="AH86" s="69">
        <v>10.584343991179713</v>
      </c>
      <c r="AI86" s="69">
        <v>5.4024255788313127</v>
      </c>
      <c r="AJ86" s="69">
        <v>5.1819184123484012</v>
      </c>
    </row>
    <row r="87" spans="1:36" x14ac:dyDescent="0.25">
      <c r="A87">
        <v>34085</v>
      </c>
      <c r="B87" s="85" t="str">
        <f>VLOOKUP(A87,ADM!$A$1:$R$343,14,0)</f>
        <v>CA de Béziers-Méditerranée</v>
      </c>
      <c r="C87" t="s">
        <v>425</v>
      </c>
      <c r="D87" s="8" t="s">
        <v>115</v>
      </c>
      <c r="E87" s="4">
        <v>0.121</v>
      </c>
      <c r="I87" s="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 s="69" t="s">
        <v>1132</v>
      </c>
      <c r="AE87" s="69" t="s">
        <v>1132</v>
      </c>
      <c r="AF87" s="69" t="s">
        <v>1132</v>
      </c>
      <c r="AG87" s="69" t="s">
        <v>1132</v>
      </c>
      <c r="AH87" s="69" t="s">
        <v>1132</v>
      </c>
      <c r="AI87" s="69" t="s">
        <v>1132</v>
      </c>
      <c r="AJ87" s="69" t="s">
        <v>1132</v>
      </c>
    </row>
    <row r="88" spans="1:36" x14ac:dyDescent="0.25">
      <c r="A88">
        <v>34086</v>
      </c>
      <c r="B88" s="85" t="str">
        <f>VLOOKUP(A88,ADM!$A$1:$R$343,14,0)</f>
        <v>CC Du Minervois au Caroux en Haut-Languedoc</v>
      </c>
      <c r="C88" t="s">
        <v>427</v>
      </c>
      <c r="D88" s="8" t="s">
        <v>115</v>
      </c>
      <c r="E88" s="4">
        <v>0.11899999999999999</v>
      </c>
      <c r="I88" s="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 s="69">
        <v>540</v>
      </c>
      <c r="AE88" s="69">
        <v>74</v>
      </c>
      <c r="AF88" s="69">
        <v>21</v>
      </c>
      <c r="AG88" s="69">
        <v>53</v>
      </c>
      <c r="AH88" s="69">
        <v>13.703703703703704</v>
      </c>
      <c r="AI88" s="69">
        <v>3.8888888888888888</v>
      </c>
      <c r="AJ88" s="69">
        <v>9.8148148148148149</v>
      </c>
    </row>
    <row r="89" spans="1:36" x14ac:dyDescent="0.25">
      <c r="A89">
        <v>34087</v>
      </c>
      <c r="B89" s="85" t="str">
        <f>VLOOKUP(A89,ADM!$A$1:$R$343,14,0)</f>
        <v>Montpellier Méditerranée Métropole</v>
      </c>
      <c r="C89" t="s">
        <v>429</v>
      </c>
      <c r="D89" s="8" t="s">
        <v>135</v>
      </c>
      <c r="E89" s="4">
        <v>4.3999999999999997E-2</v>
      </c>
      <c r="I89" s="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 s="69">
        <v>1252</v>
      </c>
      <c r="AE89" s="69">
        <v>68</v>
      </c>
      <c r="AF89" s="69">
        <v>50</v>
      </c>
      <c r="AG89" s="69">
        <v>18</v>
      </c>
      <c r="AH89" s="69">
        <v>5.4313099041533546</v>
      </c>
      <c r="AI89" s="69">
        <v>3.9936102236421722</v>
      </c>
      <c r="AJ89" s="69">
        <v>1.4376996805111821</v>
      </c>
    </row>
    <row r="90" spans="1:36" x14ac:dyDescent="0.25">
      <c r="A90">
        <v>34088</v>
      </c>
      <c r="B90" s="85" t="str">
        <f>VLOOKUP(A90,ADM!$A$1:$R$343,14,0)</f>
        <v>Montpellier Méditerranée Métropole</v>
      </c>
      <c r="C90" t="s">
        <v>435</v>
      </c>
      <c r="D90" s="8" t="s">
        <v>135</v>
      </c>
      <c r="E90" s="4">
        <v>6.9000000000000006E-2</v>
      </c>
      <c r="I90" s="8">
        <v>0</v>
      </c>
      <c r="J90">
        <v>0</v>
      </c>
      <c r="K90">
        <v>0</v>
      </c>
      <c r="L90">
        <v>0</v>
      </c>
      <c r="M90">
        <v>2</v>
      </c>
      <c r="N90">
        <v>0</v>
      </c>
      <c r="O90">
        <v>0</v>
      </c>
      <c r="P90">
        <v>0</v>
      </c>
      <c r="Q90">
        <v>0</v>
      </c>
      <c r="R90">
        <v>0</v>
      </c>
      <c r="S90">
        <v>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 s="69">
        <v>2818</v>
      </c>
      <c r="AE90" s="69">
        <v>210</v>
      </c>
      <c r="AF90" s="69">
        <v>156</v>
      </c>
      <c r="AG90" s="69">
        <v>54</v>
      </c>
      <c r="AH90" s="69">
        <v>7.4520936834634499</v>
      </c>
      <c r="AI90" s="69">
        <v>5.5358410220014189</v>
      </c>
      <c r="AJ90" s="69">
        <v>1.9162526614620299</v>
      </c>
    </row>
    <row r="91" spans="1:36" x14ac:dyDescent="0.25">
      <c r="A91">
        <v>34089</v>
      </c>
      <c r="B91" s="85" t="str">
        <f>VLOOKUP(A91,ADM!$A$1:$R$343,14,0)</f>
        <v>CC Sud-Hérault</v>
      </c>
      <c r="C91" t="s">
        <v>440</v>
      </c>
      <c r="D91" s="8" t="s">
        <v>115</v>
      </c>
      <c r="E91" s="4">
        <v>8.6999999999999994E-2</v>
      </c>
      <c r="I91" s="8">
        <v>0</v>
      </c>
      <c r="J91">
        <v>3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 s="69">
        <v>661</v>
      </c>
      <c r="AE91" s="69">
        <v>50</v>
      </c>
      <c r="AF91" s="69">
        <v>27</v>
      </c>
      <c r="AG91" s="69">
        <v>23</v>
      </c>
      <c r="AH91" s="69">
        <v>7.5642965204236008</v>
      </c>
      <c r="AI91" s="69">
        <v>4.0847201210287443</v>
      </c>
      <c r="AJ91" s="69">
        <v>3.4795763993948561</v>
      </c>
    </row>
    <row r="92" spans="1:36" x14ac:dyDescent="0.25">
      <c r="A92">
        <v>34090</v>
      </c>
      <c r="B92" s="85" t="str">
        <f>VLOOKUP(A92,ADM!$A$1:$R$343,14,0)</f>
        <v>Montpellier Méditerranée Métropole</v>
      </c>
      <c r="C92" t="s">
        <v>443</v>
      </c>
      <c r="D92" s="8" t="s">
        <v>195</v>
      </c>
      <c r="E92" s="4">
        <v>1.4E-2</v>
      </c>
      <c r="I92" s="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1</v>
      </c>
      <c r="S92">
        <v>0</v>
      </c>
      <c r="T92">
        <v>0</v>
      </c>
      <c r="U92">
        <v>2</v>
      </c>
      <c r="V92">
        <v>1</v>
      </c>
      <c r="W92">
        <v>0</v>
      </c>
      <c r="X92">
        <v>1</v>
      </c>
      <c r="Y92">
        <v>1</v>
      </c>
      <c r="Z92">
        <v>0</v>
      </c>
      <c r="AA92">
        <v>1</v>
      </c>
      <c r="AB92">
        <v>0</v>
      </c>
      <c r="AC92">
        <v>0</v>
      </c>
      <c r="AD92" s="69">
        <v>3930</v>
      </c>
      <c r="AE92" s="69">
        <v>183</v>
      </c>
      <c r="AF92" s="69">
        <v>157</v>
      </c>
      <c r="AG92" s="69">
        <v>26</v>
      </c>
      <c r="AH92" s="69">
        <v>4.6564885496183201</v>
      </c>
      <c r="AI92" s="69">
        <v>3.9949109414758275</v>
      </c>
      <c r="AJ92" s="69">
        <v>0.66157760814249367</v>
      </c>
    </row>
    <row r="93" spans="1:36" x14ac:dyDescent="0.25">
      <c r="A93">
        <v>34091</v>
      </c>
      <c r="B93" s="85" t="str">
        <f>VLOOKUP(A93,ADM!$A$1:$R$343,14,0)</f>
        <v>CC Lodévois et Larzac</v>
      </c>
      <c r="C93" t="s">
        <v>448</v>
      </c>
      <c r="D93" s="8" t="s">
        <v>115</v>
      </c>
      <c r="E93" s="4" t="s">
        <v>1132</v>
      </c>
      <c r="I93" s="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 s="69" t="s">
        <v>1132</v>
      </c>
      <c r="AE93" s="69" t="s">
        <v>1132</v>
      </c>
      <c r="AF93" s="69" t="s">
        <v>1132</v>
      </c>
      <c r="AG93" s="69" t="s">
        <v>1132</v>
      </c>
      <c r="AH93" s="69" t="s">
        <v>1132</v>
      </c>
      <c r="AI93" s="69" t="s">
        <v>1132</v>
      </c>
      <c r="AJ93" s="69" t="s">
        <v>1132</v>
      </c>
    </row>
    <row r="94" spans="1:36" x14ac:dyDescent="0.25">
      <c r="A94">
        <v>34092</v>
      </c>
      <c r="B94" s="85" t="str">
        <f>VLOOKUP(A94,ADM!$A$1:$R$343,14,0)</f>
        <v>CC Sud-Hérault</v>
      </c>
      <c r="C94" t="s">
        <v>451</v>
      </c>
      <c r="D94" s="8" t="s">
        <v>115</v>
      </c>
      <c r="E94" s="4">
        <v>0.16200000000000001</v>
      </c>
      <c r="I94" s="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 s="69">
        <v>661</v>
      </c>
      <c r="AE94" s="69">
        <v>84</v>
      </c>
      <c r="AF94" s="69">
        <v>34</v>
      </c>
      <c r="AG94" s="69">
        <v>50</v>
      </c>
      <c r="AH94" s="69">
        <v>12.708018154311649</v>
      </c>
      <c r="AI94" s="69">
        <v>5.1437216338880489</v>
      </c>
      <c r="AJ94" s="69">
        <v>7.5642965204236008</v>
      </c>
    </row>
    <row r="95" spans="1:36" x14ac:dyDescent="0.25">
      <c r="A95">
        <v>34093</v>
      </c>
      <c r="B95" s="85" t="str">
        <f>VLOOKUP(A95,ADM!$A$1:$R$343,14,0)</f>
        <v>CC Grand Orb en Languedoc</v>
      </c>
      <c r="C95" t="s">
        <v>453</v>
      </c>
      <c r="D95" s="8" t="s">
        <v>115</v>
      </c>
      <c r="E95" s="4" t="s">
        <v>1132</v>
      </c>
      <c r="I95" s="8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 s="69" t="s">
        <v>1132</v>
      </c>
      <c r="AE95" s="69" t="s">
        <v>1132</v>
      </c>
      <c r="AF95" s="69" t="s">
        <v>1132</v>
      </c>
      <c r="AG95" s="69" t="s">
        <v>1132</v>
      </c>
      <c r="AH95" s="69" t="s">
        <v>1132</v>
      </c>
      <c r="AI95" s="69" t="s">
        <v>1132</v>
      </c>
      <c r="AJ95" s="69" t="s">
        <v>1132</v>
      </c>
    </row>
    <row r="96" spans="1:36" x14ac:dyDescent="0.25">
      <c r="A96">
        <v>34094</v>
      </c>
      <c r="B96" s="85" t="str">
        <f>VLOOKUP(A96,ADM!$A$1:$R$343,14,0)</f>
        <v>CA de Béziers-Méditerranée</v>
      </c>
      <c r="C96" t="s">
        <v>455</v>
      </c>
      <c r="D96" s="8" t="s">
        <v>115</v>
      </c>
      <c r="E96" s="4">
        <v>0.11799999999999999</v>
      </c>
      <c r="I96" s="8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 s="69">
        <v>574</v>
      </c>
      <c r="AE96" s="69">
        <v>52</v>
      </c>
      <c r="AF96" s="69">
        <v>29</v>
      </c>
      <c r="AG96" s="69">
        <v>23</v>
      </c>
      <c r="AH96" s="69">
        <v>9.0592334494773521</v>
      </c>
      <c r="AI96" s="69">
        <v>5.0522648083623691</v>
      </c>
      <c r="AJ96" s="69">
        <v>4.0069686411149821</v>
      </c>
    </row>
    <row r="97" spans="1:36" x14ac:dyDescent="0.25">
      <c r="A97">
        <v>34095</v>
      </c>
      <c r="B97" s="85" t="str">
        <f>VLOOKUP(A97,ADM!$A$1:$R$343,14,0)</f>
        <v>Montpellier Méditerranée Métropole</v>
      </c>
      <c r="C97" t="s">
        <v>457</v>
      </c>
      <c r="D97" s="8" t="s">
        <v>195</v>
      </c>
      <c r="E97" s="4">
        <v>4.2000000000000003E-2</v>
      </c>
      <c r="I97" s="8">
        <v>0</v>
      </c>
      <c r="J97">
        <v>0</v>
      </c>
      <c r="K97">
        <v>0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 s="69">
        <v>3290</v>
      </c>
      <c r="AE97" s="69">
        <v>192</v>
      </c>
      <c r="AF97" s="69">
        <v>147</v>
      </c>
      <c r="AG97" s="69">
        <v>45</v>
      </c>
      <c r="AH97" s="69">
        <v>5.8358662613981762</v>
      </c>
      <c r="AI97" s="69">
        <v>4.4680851063829792</v>
      </c>
      <c r="AJ97" s="69">
        <v>1.3677811550151975</v>
      </c>
    </row>
    <row r="98" spans="1:36" x14ac:dyDescent="0.25">
      <c r="A98">
        <v>34096</v>
      </c>
      <c r="B98" s="85" t="str">
        <f>VLOOKUP(A98,ADM!$A$1:$R$343,14,0)</f>
        <v>CC les Avant-Monts</v>
      </c>
      <c r="C98" t="s">
        <v>461</v>
      </c>
      <c r="D98" s="8" t="s">
        <v>115</v>
      </c>
      <c r="E98" s="4">
        <v>0.154</v>
      </c>
      <c r="I98" s="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 s="69">
        <v>432</v>
      </c>
      <c r="AE98" s="69">
        <v>33</v>
      </c>
      <c r="AF98" s="69">
        <v>18</v>
      </c>
      <c r="AG98" s="69">
        <v>15</v>
      </c>
      <c r="AH98" s="69">
        <v>7.6388888888888893</v>
      </c>
      <c r="AI98" s="69">
        <v>4.1666666666666661</v>
      </c>
      <c r="AJ98" s="69">
        <v>3.4722222222222223</v>
      </c>
    </row>
    <row r="99" spans="1:36" x14ac:dyDescent="0.25">
      <c r="A99">
        <v>34097</v>
      </c>
      <c r="B99" s="85" t="str">
        <f>VLOOKUP(A99,ADM!$A$1:$R$343,14,0)</f>
        <v>CC Du Minervois au Caroux en Haut-Languedoc</v>
      </c>
      <c r="C99" t="s">
        <v>463</v>
      </c>
      <c r="D99" s="8" t="s">
        <v>115</v>
      </c>
      <c r="E99" s="4">
        <v>0.16300000000000001</v>
      </c>
      <c r="I99" s="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 s="69">
        <v>374</v>
      </c>
      <c r="AE99" s="69">
        <v>52</v>
      </c>
      <c r="AF99" s="69">
        <v>16</v>
      </c>
      <c r="AG99" s="69">
        <v>36</v>
      </c>
      <c r="AH99" s="69">
        <v>13.903743315508022</v>
      </c>
      <c r="AI99" s="69">
        <v>4.2780748663101598</v>
      </c>
      <c r="AJ99" s="69">
        <v>9.6256684491978604</v>
      </c>
    </row>
    <row r="100" spans="1:36" x14ac:dyDescent="0.25">
      <c r="A100">
        <v>34098</v>
      </c>
      <c r="B100" s="85" t="str">
        <f>VLOOKUP(A100,ADM!$A$1:$R$343,14,0)</f>
        <v>CC Du Minervois au Caroux en Haut-Languedoc</v>
      </c>
      <c r="C100" t="s">
        <v>465</v>
      </c>
      <c r="D100" s="8" t="s">
        <v>115</v>
      </c>
      <c r="E100" s="4" t="s">
        <v>1132</v>
      </c>
      <c r="I100" s="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 s="69" t="s">
        <v>1132</v>
      </c>
      <c r="AE100" s="69" t="s">
        <v>1132</v>
      </c>
      <c r="AF100" s="69" t="s">
        <v>1132</v>
      </c>
      <c r="AG100" s="69" t="s">
        <v>1132</v>
      </c>
      <c r="AH100" s="69" t="s">
        <v>1132</v>
      </c>
      <c r="AI100" s="69" t="s">
        <v>1132</v>
      </c>
      <c r="AJ100" s="69" t="s">
        <v>1132</v>
      </c>
    </row>
    <row r="101" spans="1:36" x14ac:dyDescent="0.25">
      <c r="A101">
        <v>34099</v>
      </c>
      <c r="B101" s="85" t="str">
        <f>VLOOKUP(A101,ADM!$A$1:$R$343,14,0)</f>
        <v>CC du Grand Pic Saint-Loup</v>
      </c>
      <c r="C101" t="s">
        <v>467</v>
      </c>
      <c r="D101" s="8" t="s">
        <v>115</v>
      </c>
      <c r="E101" s="4" t="s">
        <v>1132</v>
      </c>
      <c r="I101" s="8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 s="69" t="s">
        <v>1132</v>
      </c>
      <c r="AE101" s="69" t="s">
        <v>1132</v>
      </c>
      <c r="AF101" s="69" t="s">
        <v>1132</v>
      </c>
      <c r="AG101" s="69" t="s">
        <v>1132</v>
      </c>
      <c r="AH101" s="69" t="s">
        <v>1132</v>
      </c>
      <c r="AI101" s="69" t="s">
        <v>1132</v>
      </c>
      <c r="AJ101" s="69" t="s">
        <v>1132</v>
      </c>
    </row>
    <row r="102" spans="1:36" x14ac:dyDescent="0.25">
      <c r="A102">
        <v>34100</v>
      </c>
      <c r="B102" s="85" t="str">
        <f>VLOOKUP(A102,ADM!$A$1:$R$343,14,0)</f>
        <v>CC Du Minervois au Caroux en Haut-Languedoc</v>
      </c>
      <c r="C102" t="s">
        <v>469</v>
      </c>
      <c r="D102" s="8" t="s">
        <v>115</v>
      </c>
      <c r="E102" s="4" t="s">
        <v>1132</v>
      </c>
      <c r="I102" s="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 s="69" t="s">
        <v>1132</v>
      </c>
      <c r="AE102" s="69" t="s">
        <v>1132</v>
      </c>
      <c r="AF102" s="69" t="s">
        <v>1132</v>
      </c>
      <c r="AG102" s="69" t="s">
        <v>1132</v>
      </c>
      <c r="AH102" s="69" t="s">
        <v>1132</v>
      </c>
      <c r="AI102" s="69" t="s">
        <v>1132</v>
      </c>
      <c r="AJ102" s="69" t="s">
        <v>1132</v>
      </c>
    </row>
    <row r="103" spans="1:36" x14ac:dyDescent="0.25">
      <c r="A103">
        <v>34101</v>
      </c>
      <c r="B103" s="85" t="str">
        <f>VLOOKUP(A103,ADM!$A$1:$R$343,14,0)</f>
        <v>CA Hérault-Méditerranée</v>
      </c>
      <c r="C103" t="s">
        <v>471</v>
      </c>
      <c r="D103" s="8" t="s">
        <v>115</v>
      </c>
      <c r="E103" s="4">
        <v>0.156</v>
      </c>
      <c r="I103" s="8">
        <v>0</v>
      </c>
      <c r="J103">
        <v>0</v>
      </c>
      <c r="K103">
        <v>0</v>
      </c>
      <c r="L103">
        <v>0</v>
      </c>
      <c r="M103">
        <v>1</v>
      </c>
      <c r="N103">
        <v>0</v>
      </c>
      <c r="O103">
        <v>0</v>
      </c>
      <c r="P103">
        <v>1</v>
      </c>
      <c r="Q103">
        <v>0</v>
      </c>
      <c r="R103">
        <v>0</v>
      </c>
      <c r="S103">
        <v>3</v>
      </c>
      <c r="T103">
        <v>0</v>
      </c>
      <c r="U103">
        <v>0</v>
      </c>
      <c r="V103">
        <v>2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2</v>
      </c>
      <c r="AC103">
        <v>0</v>
      </c>
      <c r="AD103" s="69">
        <v>2748</v>
      </c>
      <c r="AE103" s="69">
        <v>342</v>
      </c>
      <c r="AF103" s="69">
        <v>172</v>
      </c>
      <c r="AG103" s="69">
        <v>170</v>
      </c>
      <c r="AH103" s="69">
        <v>12.445414847161572</v>
      </c>
      <c r="AI103" s="69">
        <v>6.2590975254730719</v>
      </c>
      <c r="AJ103" s="69">
        <v>6.1863173216885015</v>
      </c>
    </row>
    <row r="104" spans="1:36" x14ac:dyDescent="0.25">
      <c r="A104">
        <v>34102</v>
      </c>
      <c r="B104" s="85" t="str">
        <f>VLOOKUP(A104,ADM!$A$1:$R$343,14,0)</f>
        <v>CC du Grand Pic Saint-Loup</v>
      </c>
      <c r="C104" t="s">
        <v>476</v>
      </c>
      <c r="D104" s="8" t="s">
        <v>115</v>
      </c>
      <c r="E104" s="4" t="s">
        <v>1132</v>
      </c>
      <c r="I104" s="8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 s="69" t="s">
        <v>1132</v>
      </c>
      <c r="AE104" s="69" t="s">
        <v>1132</v>
      </c>
      <c r="AF104" s="69" t="s">
        <v>1132</v>
      </c>
      <c r="AG104" s="69" t="s">
        <v>1132</v>
      </c>
      <c r="AH104" s="69" t="s">
        <v>1132</v>
      </c>
      <c r="AI104" s="69" t="s">
        <v>1132</v>
      </c>
      <c r="AJ104" s="69" t="s">
        <v>1132</v>
      </c>
    </row>
    <row r="105" spans="1:36" x14ac:dyDescent="0.25">
      <c r="A105">
        <v>34103</v>
      </c>
      <c r="B105" s="85" t="str">
        <f>VLOOKUP(A105,ADM!$A$1:$R$343,14,0)</f>
        <v>CC du Clermontais</v>
      </c>
      <c r="C105" t="s">
        <v>478</v>
      </c>
      <c r="D105" s="8" t="s">
        <v>115</v>
      </c>
      <c r="E105" s="4">
        <v>0.13200000000000001</v>
      </c>
      <c r="I105" s="8">
        <v>0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 s="69">
        <v>617</v>
      </c>
      <c r="AE105" s="69">
        <v>66</v>
      </c>
      <c r="AF105" s="69">
        <v>35</v>
      </c>
      <c r="AG105" s="69">
        <v>31</v>
      </c>
      <c r="AH105" s="69">
        <v>10.696920583468396</v>
      </c>
      <c r="AI105" s="69">
        <v>5.6726094003241485</v>
      </c>
      <c r="AJ105" s="69">
        <v>5.0243111831442464</v>
      </c>
    </row>
    <row r="106" spans="1:36" x14ac:dyDescent="0.25">
      <c r="A106">
        <v>34104</v>
      </c>
      <c r="B106" s="85" t="str">
        <f>VLOOKUP(A106,ADM!$A$1:$R$343,14,0)</f>
        <v>CC les Avant-Monts</v>
      </c>
      <c r="C106" t="s">
        <v>480</v>
      </c>
      <c r="D106" s="8" t="s">
        <v>115</v>
      </c>
      <c r="E106" s="4" t="s">
        <v>1132</v>
      </c>
      <c r="I106" s="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 s="69" t="s">
        <v>1132</v>
      </c>
      <c r="AE106" s="69" t="s">
        <v>1132</v>
      </c>
      <c r="AF106" s="69" t="s">
        <v>1132</v>
      </c>
      <c r="AG106" s="69" t="s">
        <v>1132</v>
      </c>
      <c r="AH106" s="69" t="s">
        <v>1132</v>
      </c>
      <c r="AI106" s="69" t="s">
        <v>1132</v>
      </c>
      <c r="AJ106" s="69" t="s">
        <v>1132</v>
      </c>
    </row>
    <row r="107" spans="1:36" x14ac:dyDescent="0.25">
      <c r="A107">
        <v>34105</v>
      </c>
      <c r="B107" s="85" t="str">
        <f>VLOOKUP(A107,ADM!$A$1:$R$343,14,0)</f>
        <v>CC les Avant-Monts</v>
      </c>
      <c r="C107" t="s">
        <v>482</v>
      </c>
      <c r="D107" s="8" t="s">
        <v>115</v>
      </c>
      <c r="E107" s="4" t="s">
        <v>1132</v>
      </c>
      <c r="I107" s="8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 s="69" t="s">
        <v>1132</v>
      </c>
      <c r="AE107" s="69" t="s">
        <v>1132</v>
      </c>
      <c r="AF107" s="69" t="s">
        <v>1132</v>
      </c>
      <c r="AG107" s="69" t="s">
        <v>1132</v>
      </c>
      <c r="AH107" s="69" t="s">
        <v>1132</v>
      </c>
      <c r="AI107" s="69" t="s">
        <v>1132</v>
      </c>
      <c r="AJ107" s="69" t="s">
        <v>1132</v>
      </c>
    </row>
    <row r="108" spans="1:36" x14ac:dyDescent="0.25">
      <c r="A108">
        <v>34106</v>
      </c>
      <c r="B108" s="85" t="str">
        <f>VLOOKUP(A108,ADM!$A$1:$R$343,14,0)</f>
        <v>CC Lodévois et Larzac</v>
      </c>
      <c r="C108" t="s">
        <v>484</v>
      </c>
      <c r="D108" s="8" t="s">
        <v>115</v>
      </c>
      <c r="E108" s="4" t="s">
        <v>1132</v>
      </c>
      <c r="I108" s="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 s="69" t="s">
        <v>1132</v>
      </c>
      <c r="AE108" s="69" t="s">
        <v>1132</v>
      </c>
      <c r="AF108" s="69" t="s">
        <v>1132</v>
      </c>
      <c r="AG108" s="69" t="s">
        <v>1132</v>
      </c>
      <c r="AH108" s="69" t="s">
        <v>1132</v>
      </c>
      <c r="AI108" s="69" t="s">
        <v>1132</v>
      </c>
      <c r="AJ108" s="69" t="s">
        <v>1132</v>
      </c>
    </row>
    <row r="109" spans="1:36" x14ac:dyDescent="0.25">
      <c r="A109">
        <v>34107</v>
      </c>
      <c r="B109" s="85" t="str">
        <f>VLOOKUP(A109,ADM!$A$1:$R$343,14,0)</f>
        <v>CC des Monts de Lacaune et de la Montagne du Haut Languedoc</v>
      </c>
      <c r="C109" t="s">
        <v>486</v>
      </c>
      <c r="D109" s="8" t="s">
        <v>115</v>
      </c>
      <c r="E109" s="4">
        <v>0.224</v>
      </c>
      <c r="I109" s="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 s="69">
        <v>398</v>
      </c>
      <c r="AE109" s="69">
        <v>53</v>
      </c>
      <c r="AF109" s="69">
        <v>20</v>
      </c>
      <c r="AG109" s="69">
        <v>33</v>
      </c>
      <c r="AH109" s="69">
        <v>13.316582914572864</v>
      </c>
      <c r="AI109" s="69">
        <v>5.025125628140704</v>
      </c>
      <c r="AJ109" s="69">
        <v>8.291457286432161</v>
      </c>
    </row>
    <row r="110" spans="1:36" x14ac:dyDescent="0.25">
      <c r="A110">
        <v>34108</v>
      </c>
      <c r="B110" s="85" t="str">
        <f>VLOOKUP(A110,ADM!$A$1:$R$343,14,0)</f>
        <v>Sète Agglopôle Méditerranée</v>
      </c>
      <c r="C110" t="s">
        <v>488</v>
      </c>
      <c r="D110" s="8" t="s">
        <v>135</v>
      </c>
      <c r="E110" s="4">
        <v>6.3E-2</v>
      </c>
      <c r="I110" s="8">
        <v>0</v>
      </c>
      <c r="J110">
        <v>1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 s="69">
        <v>12829</v>
      </c>
      <c r="AE110" s="69">
        <v>901</v>
      </c>
      <c r="AF110" s="69">
        <v>751</v>
      </c>
      <c r="AG110" s="69">
        <v>150</v>
      </c>
      <c r="AH110" s="69">
        <v>7.0231506742536434</v>
      </c>
      <c r="AI110" s="69">
        <v>5.8539247018473777</v>
      </c>
      <c r="AJ110" s="69">
        <v>1.169225972406267</v>
      </c>
    </row>
    <row r="111" spans="1:36" x14ac:dyDescent="0.25">
      <c r="A111">
        <v>34109</v>
      </c>
      <c r="B111" s="85" t="str">
        <f>VLOOKUP(A111,ADM!$A$1:$R$343,14,0)</f>
        <v>CC les Avant-Monts</v>
      </c>
      <c r="C111" t="s">
        <v>493</v>
      </c>
      <c r="D111" s="8" t="s">
        <v>115</v>
      </c>
      <c r="E111" s="4">
        <v>0.193</v>
      </c>
      <c r="I111" s="8">
        <v>0</v>
      </c>
      <c r="J111">
        <v>0</v>
      </c>
      <c r="K111">
        <v>0</v>
      </c>
      <c r="L111">
        <v>0</v>
      </c>
      <c r="M111">
        <v>1</v>
      </c>
      <c r="N111">
        <v>0</v>
      </c>
      <c r="O111">
        <v>0</v>
      </c>
      <c r="P111">
        <v>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3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3</v>
      </c>
      <c r="AC111">
        <v>0</v>
      </c>
      <c r="AD111" s="69">
        <v>592</v>
      </c>
      <c r="AE111" s="69">
        <v>80</v>
      </c>
      <c r="AF111" s="69">
        <v>33</v>
      </c>
      <c r="AG111" s="69">
        <v>47</v>
      </c>
      <c r="AH111" s="69">
        <v>13.513513513513514</v>
      </c>
      <c r="AI111" s="69">
        <v>5.5743243243243246</v>
      </c>
      <c r="AJ111" s="69">
        <v>7.9391891891891886</v>
      </c>
    </row>
    <row r="112" spans="1:36" x14ac:dyDescent="0.25">
      <c r="A112">
        <v>34110</v>
      </c>
      <c r="B112" s="85" t="str">
        <f>VLOOKUP(A112,ADM!$A$1:$R$343,14,0)</f>
        <v>CC du Pays de Lunel</v>
      </c>
      <c r="C112" t="s">
        <v>496</v>
      </c>
      <c r="D112" s="8" t="s">
        <v>115</v>
      </c>
      <c r="E112" s="4">
        <v>9.5000000000000001E-2</v>
      </c>
      <c r="I112" s="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 s="69" t="s">
        <v>1132</v>
      </c>
      <c r="AE112" s="69" t="s">
        <v>1132</v>
      </c>
      <c r="AF112" s="69" t="s">
        <v>1132</v>
      </c>
      <c r="AG112" s="69" t="s">
        <v>1132</v>
      </c>
      <c r="AH112" s="69" t="s">
        <v>1132</v>
      </c>
      <c r="AI112" s="69" t="s">
        <v>1132</v>
      </c>
      <c r="AJ112" s="69" t="s">
        <v>1132</v>
      </c>
    </row>
    <row r="113" spans="1:36" x14ac:dyDescent="0.25">
      <c r="A113">
        <v>34111</v>
      </c>
      <c r="B113" s="85" t="str">
        <f>VLOOKUP(A113,ADM!$A$1:$R$343,14,0)</f>
        <v>CC des Cévennes Gangeoises et Suménoises</v>
      </c>
      <c r="C113" t="s">
        <v>498</v>
      </c>
      <c r="D113" s="8" t="s">
        <v>115</v>
      </c>
      <c r="E113" s="4">
        <v>0.17699999999999999</v>
      </c>
      <c r="I113" s="8">
        <v>0</v>
      </c>
      <c r="J113">
        <v>0</v>
      </c>
      <c r="K113">
        <v>0</v>
      </c>
      <c r="L113">
        <v>0</v>
      </c>
      <c r="M113">
        <v>6</v>
      </c>
      <c r="N113">
        <v>0</v>
      </c>
      <c r="O113">
        <v>0</v>
      </c>
      <c r="P113">
        <v>3</v>
      </c>
      <c r="Q113">
        <v>0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2</v>
      </c>
      <c r="AC113">
        <v>0</v>
      </c>
      <c r="AD113" s="69">
        <v>2617</v>
      </c>
      <c r="AE113" s="69">
        <v>526</v>
      </c>
      <c r="AF113" s="69">
        <v>252</v>
      </c>
      <c r="AG113" s="69">
        <v>274</v>
      </c>
      <c r="AH113" s="69">
        <v>20.099350401222775</v>
      </c>
      <c r="AI113" s="69">
        <v>9.6293465800534968</v>
      </c>
      <c r="AJ113" s="69">
        <v>10.470003821169279</v>
      </c>
    </row>
    <row r="114" spans="1:36" x14ac:dyDescent="0.25">
      <c r="A114">
        <v>34112</v>
      </c>
      <c r="B114" s="85" t="str">
        <f>VLOOKUP(A114,ADM!$A$1:$R$343,14,0)</f>
        <v>CC du Pays de Lunel</v>
      </c>
      <c r="C114" t="s">
        <v>502</v>
      </c>
      <c r="D114" s="8" t="s">
        <v>115</v>
      </c>
      <c r="E114" s="4" t="s">
        <v>1132</v>
      </c>
      <c r="I114" s="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 s="69" t="s">
        <v>1132</v>
      </c>
      <c r="AE114" s="69" t="s">
        <v>1132</v>
      </c>
      <c r="AF114" s="69" t="s">
        <v>1132</v>
      </c>
      <c r="AG114" s="69" t="s">
        <v>1132</v>
      </c>
      <c r="AH114" s="69" t="s">
        <v>1132</v>
      </c>
      <c r="AI114" s="69" t="s">
        <v>1132</v>
      </c>
      <c r="AJ114" s="69" t="s">
        <v>1132</v>
      </c>
    </row>
    <row r="115" spans="1:36" x14ac:dyDescent="0.25">
      <c r="A115">
        <v>34113</v>
      </c>
      <c r="B115" s="85" t="str">
        <f>VLOOKUP(A115,ADM!$A$1:$R$343,14,0)</f>
        <v>Sète Agglopôle Méditerranée</v>
      </c>
      <c r="C115" t="s">
        <v>504</v>
      </c>
      <c r="D115" s="8" t="s">
        <v>135</v>
      </c>
      <c r="E115" s="4">
        <v>6.6000000000000003E-2</v>
      </c>
      <c r="I115" s="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0</v>
      </c>
      <c r="X115">
        <v>0</v>
      </c>
      <c r="Y115">
        <v>1</v>
      </c>
      <c r="Z115">
        <v>0</v>
      </c>
      <c r="AA115">
        <v>0</v>
      </c>
      <c r="AB115">
        <v>0</v>
      </c>
      <c r="AC115">
        <v>0</v>
      </c>
      <c r="AD115" s="69">
        <v>2674</v>
      </c>
      <c r="AE115" s="69">
        <v>162</v>
      </c>
      <c r="AF115" s="69">
        <v>116</v>
      </c>
      <c r="AG115" s="69">
        <v>46</v>
      </c>
      <c r="AH115" s="69">
        <v>6.05833956619297</v>
      </c>
      <c r="AI115" s="69">
        <v>4.3380703066566939</v>
      </c>
      <c r="AJ115" s="69">
        <v>1.7202692595362752</v>
      </c>
    </row>
    <row r="116" spans="1:36" x14ac:dyDescent="0.25">
      <c r="A116">
        <v>34114</v>
      </c>
      <c r="B116" s="85" t="str">
        <f>VLOOKUP(A116,ADM!$A$1:$R$343,14,0)</f>
        <v>CC Vallée de l'hérault</v>
      </c>
      <c r="C116" t="s">
        <v>509</v>
      </c>
      <c r="D116" s="8" t="s">
        <v>115</v>
      </c>
      <c r="E116" s="4">
        <v>0.114</v>
      </c>
      <c r="I116" s="8">
        <v>0</v>
      </c>
      <c r="J116">
        <v>0</v>
      </c>
      <c r="K116">
        <v>0</v>
      </c>
      <c r="L116">
        <v>0</v>
      </c>
      <c r="M116">
        <v>3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3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 s="69">
        <v>2694</v>
      </c>
      <c r="AE116" s="69">
        <v>221</v>
      </c>
      <c r="AF116" s="69">
        <v>132</v>
      </c>
      <c r="AG116" s="69">
        <v>89</v>
      </c>
      <c r="AH116" s="69">
        <v>8.2034149962880463</v>
      </c>
      <c r="AI116" s="69">
        <v>4.8997772828507795</v>
      </c>
      <c r="AJ116" s="69">
        <v>3.3036377134372676</v>
      </c>
    </row>
    <row r="117" spans="1:36" x14ac:dyDescent="0.25">
      <c r="A117">
        <v>34115</v>
      </c>
      <c r="B117" s="85" t="str">
        <f>VLOOKUP(A117,ADM!$A$1:$R$343,14,0)</f>
        <v>CC des Cévennes Gangeoises et Suménoises</v>
      </c>
      <c r="C117" t="s">
        <v>512</v>
      </c>
      <c r="D117" s="8" t="s">
        <v>115</v>
      </c>
      <c r="E117" s="4" t="s">
        <v>1132</v>
      </c>
      <c r="I117" s="8">
        <v>0</v>
      </c>
      <c r="J117">
        <v>0</v>
      </c>
      <c r="K117">
        <v>0</v>
      </c>
      <c r="L117">
        <v>0</v>
      </c>
      <c r="M117">
        <v>1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 s="69" t="s">
        <v>1132</v>
      </c>
      <c r="AE117" s="69" t="s">
        <v>1132</v>
      </c>
      <c r="AF117" s="69" t="s">
        <v>1132</v>
      </c>
      <c r="AG117" s="69" t="s">
        <v>1132</v>
      </c>
      <c r="AH117" s="69" t="s">
        <v>1132</v>
      </c>
      <c r="AI117" s="69" t="s">
        <v>1132</v>
      </c>
      <c r="AJ117" s="69" t="s">
        <v>1132</v>
      </c>
    </row>
    <row r="118" spans="1:36" x14ac:dyDescent="0.25">
      <c r="A118">
        <v>34116</v>
      </c>
      <c r="B118" s="85" t="str">
        <f>VLOOKUP(A118,ADM!$A$1:$R$343,14,0)</f>
        <v>Montpellier Méditerranée Métropole</v>
      </c>
      <c r="C118" t="s">
        <v>514</v>
      </c>
      <c r="D118" s="8" t="s">
        <v>195</v>
      </c>
      <c r="E118" s="4">
        <v>1.9E-2</v>
      </c>
      <c r="I118" s="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 s="69">
        <v>3976</v>
      </c>
      <c r="AE118" s="69">
        <v>369</v>
      </c>
      <c r="AF118" s="69">
        <v>346</v>
      </c>
      <c r="AG118" s="69">
        <v>23</v>
      </c>
      <c r="AH118" s="69">
        <v>9.2806841046277668</v>
      </c>
      <c r="AI118" s="69">
        <v>8.7022132796780678</v>
      </c>
      <c r="AJ118" s="69">
        <v>0.57847082494969815</v>
      </c>
    </row>
    <row r="119" spans="1:36" x14ac:dyDescent="0.25">
      <c r="A119">
        <v>34117</v>
      </c>
      <c r="B119" s="85" t="str">
        <f>VLOOKUP(A119,ADM!$A$1:$R$343,14,0)</f>
        <v>CC Grand Orb en Languedoc</v>
      </c>
      <c r="C119" t="s">
        <v>521</v>
      </c>
      <c r="D119" s="8" t="s">
        <v>115</v>
      </c>
      <c r="E119" s="4">
        <v>0.16400000000000001</v>
      </c>
      <c r="I119" s="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 s="69">
        <v>672</v>
      </c>
      <c r="AE119" s="69">
        <v>135</v>
      </c>
      <c r="AF119" s="69">
        <v>35</v>
      </c>
      <c r="AG119" s="69">
        <v>100</v>
      </c>
      <c r="AH119" s="69">
        <v>20.089285714285715</v>
      </c>
      <c r="AI119" s="69">
        <v>5.2083333333333339</v>
      </c>
      <c r="AJ119" s="69">
        <v>14.880952380952381</v>
      </c>
    </row>
    <row r="120" spans="1:36" x14ac:dyDescent="0.25">
      <c r="A120">
        <v>34118</v>
      </c>
      <c r="B120" s="85" t="str">
        <f>VLOOKUP(A120,ADM!$A$1:$R$343,14,0)</f>
        <v>CC du Grand Pic Saint-Loup</v>
      </c>
      <c r="C120" t="s">
        <v>523</v>
      </c>
      <c r="D120" s="8" t="s">
        <v>115</v>
      </c>
      <c r="E120" s="4" t="s">
        <v>1132</v>
      </c>
      <c r="I120" s="8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 s="69" t="s">
        <v>1132</v>
      </c>
      <c r="AE120" s="69" t="s">
        <v>1132</v>
      </c>
      <c r="AF120" s="69" t="s">
        <v>1132</v>
      </c>
      <c r="AG120" s="69" t="s">
        <v>1132</v>
      </c>
      <c r="AH120" s="69" t="s">
        <v>1132</v>
      </c>
      <c r="AI120" s="69" t="s">
        <v>1132</v>
      </c>
      <c r="AJ120" s="69" t="s">
        <v>1132</v>
      </c>
    </row>
    <row r="121" spans="1:36" x14ac:dyDescent="0.25">
      <c r="A121">
        <v>34119</v>
      </c>
      <c r="B121" s="85" t="str">
        <f>VLOOKUP(A121,ADM!$A$1:$R$343,14,0)</f>
        <v>CC Grand Orb en Languedoc</v>
      </c>
      <c r="C121" t="s">
        <v>525</v>
      </c>
      <c r="D121" s="8" t="s">
        <v>115</v>
      </c>
      <c r="E121" s="4">
        <v>0.10299999999999999</v>
      </c>
      <c r="I121" s="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 s="69">
        <v>968</v>
      </c>
      <c r="AE121" s="69">
        <v>108</v>
      </c>
      <c r="AF121" s="69">
        <v>63</v>
      </c>
      <c r="AG121" s="69">
        <v>45</v>
      </c>
      <c r="AH121" s="69">
        <v>11.15702479338843</v>
      </c>
      <c r="AI121" s="69">
        <v>6.508264462809918</v>
      </c>
      <c r="AJ121" s="69">
        <v>4.6487603305785123</v>
      </c>
    </row>
    <row r="122" spans="1:36" x14ac:dyDescent="0.25">
      <c r="A122">
        <v>34120</v>
      </c>
      <c r="B122" s="85" t="str">
        <f>VLOOKUP(A122,ADM!$A$1:$R$343,14,0)</f>
        <v>Montpellier Méditerranée Métropole</v>
      </c>
      <c r="C122" t="s">
        <v>528</v>
      </c>
      <c r="D122" s="8" t="s">
        <v>195</v>
      </c>
      <c r="E122" s="4">
        <v>1.2E-2</v>
      </c>
      <c r="I122" s="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 s="69" t="s">
        <v>1132</v>
      </c>
      <c r="AE122" s="69" t="s">
        <v>1132</v>
      </c>
      <c r="AF122" s="69" t="s">
        <v>1132</v>
      </c>
      <c r="AG122" s="69" t="s">
        <v>1132</v>
      </c>
      <c r="AH122" s="69" t="s">
        <v>1132</v>
      </c>
      <c r="AI122" s="69" t="s">
        <v>1132</v>
      </c>
      <c r="AJ122" s="69" t="s">
        <v>1132</v>
      </c>
    </row>
    <row r="123" spans="1:36" x14ac:dyDescent="0.25">
      <c r="A123">
        <v>34121</v>
      </c>
      <c r="B123" s="85" t="str">
        <f>VLOOKUP(A123,ADM!$A$1:$R$343,14,0)</f>
        <v>CC Grand Orb en Languedoc</v>
      </c>
      <c r="C123" t="s">
        <v>533</v>
      </c>
      <c r="D123" s="8" t="s">
        <v>115</v>
      </c>
      <c r="E123" s="4">
        <v>0.21199999999999999</v>
      </c>
      <c r="I123" s="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 s="69" t="s">
        <v>1132</v>
      </c>
      <c r="AE123" s="69" t="s">
        <v>1132</v>
      </c>
      <c r="AF123" s="69" t="s">
        <v>1132</v>
      </c>
      <c r="AG123" s="69" t="s">
        <v>1132</v>
      </c>
      <c r="AH123" s="69" t="s">
        <v>1132</v>
      </c>
      <c r="AI123" s="69" t="s">
        <v>1132</v>
      </c>
      <c r="AJ123" s="69" t="s">
        <v>1132</v>
      </c>
    </row>
    <row r="124" spans="1:36" x14ac:dyDescent="0.25">
      <c r="A124">
        <v>34122</v>
      </c>
      <c r="B124" s="85" t="str">
        <f>VLOOKUP(A124,ADM!$A$1:$R$343,14,0)</f>
        <v>CC Vallée de l'hérault</v>
      </c>
      <c r="C124" t="s">
        <v>535</v>
      </c>
      <c r="D124" s="8" t="s">
        <v>115</v>
      </c>
      <c r="E124" s="4">
        <v>0.14699999999999999</v>
      </c>
      <c r="I124" s="8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 s="69" t="s">
        <v>1132</v>
      </c>
      <c r="AE124" s="69" t="s">
        <v>1132</v>
      </c>
      <c r="AF124" s="69" t="s">
        <v>1132</v>
      </c>
      <c r="AG124" s="69" t="s">
        <v>1132</v>
      </c>
      <c r="AH124" s="69" t="s">
        <v>1132</v>
      </c>
      <c r="AI124" s="69" t="s">
        <v>1132</v>
      </c>
      <c r="AJ124" s="69" t="s">
        <v>1132</v>
      </c>
    </row>
    <row r="125" spans="1:36" x14ac:dyDescent="0.25">
      <c r="A125">
        <v>34123</v>
      </c>
      <c r="B125" s="85" t="str">
        <f>VLOOKUP(A125,ADM!$A$1:$R$343,14,0)</f>
        <v>Montpellier Méditerranée Métropole</v>
      </c>
      <c r="C125" t="s">
        <v>537</v>
      </c>
      <c r="D125" s="8" t="s">
        <v>195</v>
      </c>
      <c r="E125" s="4">
        <v>1.7999999999999999E-2</v>
      </c>
      <c r="I125" s="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0</v>
      </c>
      <c r="AB125">
        <v>0</v>
      </c>
      <c r="AC125">
        <v>0</v>
      </c>
      <c r="AD125" s="69">
        <v>5248</v>
      </c>
      <c r="AE125" s="69">
        <v>428</v>
      </c>
      <c r="AF125" s="69">
        <v>393</v>
      </c>
      <c r="AG125" s="69">
        <v>35</v>
      </c>
      <c r="AH125" s="69">
        <v>8.1554878048780495</v>
      </c>
      <c r="AI125" s="69">
        <v>7.4885670731707323</v>
      </c>
      <c r="AJ125" s="69">
        <v>0.66692073170731703</v>
      </c>
    </row>
    <row r="126" spans="1:36" x14ac:dyDescent="0.25">
      <c r="A126">
        <v>34124</v>
      </c>
      <c r="B126" s="85" t="str">
        <f>VLOOKUP(A126,ADM!$A$1:$R$343,14,0)</f>
        <v>CC du Clermontais</v>
      </c>
      <c r="C126" t="s">
        <v>544</v>
      </c>
      <c r="D126" s="8" t="s">
        <v>115</v>
      </c>
      <c r="E126" s="4" t="s">
        <v>1132</v>
      </c>
      <c r="I126" s="8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 s="69" t="s">
        <v>1132</v>
      </c>
      <c r="AE126" s="69" t="s">
        <v>1132</v>
      </c>
      <c r="AF126" s="69" t="s">
        <v>1132</v>
      </c>
      <c r="AG126" s="69" t="s">
        <v>1132</v>
      </c>
      <c r="AH126" s="69" t="s">
        <v>1132</v>
      </c>
      <c r="AI126" s="69" t="s">
        <v>1132</v>
      </c>
      <c r="AJ126" s="69" t="s">
        <v>1132</v>
      </c>
    </row>
    <row r="127" spans="1:36" x14ac:dyDescent="0.25">
      <c r="A127">
        <v>34125</v>
      </c>
      <c r="B127" s="85" t="str">
        <f>VLOOKUP(A127,ADM!$A$1:$R$343,14,0)</f>
        <v>CC Vallée de l'hérault</v>
      </c>
      <c r="C127" t="s">
        <v>546</v>
      </c>
      <c r="D127" s="8" t="s">
        <v>115</v>
      </c>
      <c r="E127" s="4" t="s">
        <v>1132</v>
      </c>
      <c r="I127" s="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 s="69" t="s">
        <v>1132</v>
      </c>
      <c r="AE127" s="69" t="s">
        <v>1132</v>
      </c>
      <c r="AF127" s="69" t="s">
        <v>1132</v>
      </c>
      <c r="AG127" s="69" t="s">
        <v>1132</v>
      </c>
      <c r="AH127" s="69" t="s">
        <v>1132</v>
      </c>
      <c r="AI127" s="69" t="s">
        <v>1132</v>
      </c>
      <c r="AJ127" s="69" t="s">
        <v>1132</v>
      </c>
    </row>
    <row r="128" spans="1:36" x14ac:dyDescent="0.25">
      <c r="A128">
        <v>34126</v>
      </c>
      <c r="B128" s="85" t="str">
        <f>VLOOKUP(A128,ADM!$A$1:$R$343,14,0)</f>
        <v>CC Grand Orb en Languedoc</v>
      </c>
      <c r="C128" t="s">
        <v>548</v>
      </c>
      <c r="D128" s="8" t="s">
        <v>115</v>
      </c>
      <c r="E128" s="4">
        <v>0.11</v>
      </c>
      <c r="I128" s="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 s="69">
        <v>2119</v>
      </c>
      <c r="AE128" s="69">
        <v>254</v>
      </c>
      <c r="AF128" s="69">
        <v>154</v>
      </c>
      <c r="AG128" s="69">
        <v>100</v>
      </c>
      <c r="AH128" s="69">
        <v>11.986786219915055</v>
      </c>
      <c r="AI128" s="69">
        <v>7.26757904672015</v>
      </c>
      <c r="AJ128" s="69">
        <v>4.7192071731949028</v>
      </c>
    </row>
    <row r="129" spans="1:36" x14ac:dyDescent="0.25">
      <c r="A129">
        <v>34127</v>
      </c>
      <c r="B129" s="85" t="str">
        <f>VLOOKUP(A129,ADM!$A$1:$R$343,14,0)</f>
        <v>CA du Pays de l'Or</v>
      </c>
      <c r="C129" t="s">
        <v>552</v>
      </c>
      <c r="D129" s="8" t="s">
        <v>243</v>
      </c>
      <c r="E129" s="4">
        <v>3.5999999999999997E-2</v>
      </c>
      <c r="I129" s="8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 s="69">
        <v>1497</v>
      </c>
      <c r="AE129" s="69">
        <v>113</v>
      </c>
      <c r="AF129" s="69">
        <v>91</v>
      </c>
      <c r="AG129" s="69">
        <v>22</v>
      </c>
      <c r="AH129" s="69">
        <v>7.5484301937207743</v>
      </c>
      <c r="AI129" s="69">
        <v>6.0788243152972612</v>
      </c>
      <c r="AJ129" s="69">
        <v>1.4696058784235138</v>
      </c>
    </row>
    <row r="130" spans="1:36" x14ac:dyDescent="0.25">
      <c r="A130">
        <v>34128</v>
      </c>
      <c r="B130" s="85" t="str">
        <f>VLOOKUP(A130,ADM!$A$1:$R$343,14,0)</f>
        <v>CC des Cévennes Gangeoises et Suménoises</v>
      </c>
      <c r="C130" t="s">
        <v>556</v>
      </c>
      <c r="D130" s="8" t="s">
        <v>115</v>
      </c>
      <c r="E130" s="4">
        <v>5.1999999999999998E-2</v>
      </c>
      <c r="I130" s="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 s="69">
        <v>964</v>
      </c>
      <c r="AE130" s="69">
        <v>96</v>
      </c>
      <c r="AF130" s="69">
        <v>58</v>
      </c>
      <c r="AG130" s="69">
        <v>38</v>
      </c>
      <c r="AH130" s="69">
        <v>9.9585062240663902</v>
      </c>
      <c r="AI130" s="69">
        <v>6.0165975103734439</v>
      </c>
      <c r="AJ130" s="69">
        <v>3.9419087136929458</v>
      </c>
    </row>
    <row r="131" spans="1:36" x14ac:dyDescent="0.25">
      <c r="A131">
        <v>34129</v>
      </c>
      <c r="B131" s="85" t="str">
        <f>VLOOKUP(A131,ADM!$A$1:$R$343,14,0)</f>
        <v>Montpellier Méditerranée Métropole</v>
      </c>
      <c r="C131" t="s">
        <v>558</v>
      </c>
      <c r="D131" s="8" t="s">
        <v>195</v>
      </c>
      <c r="E131" s="4">
        <v>1.0999999999999999E-2</v>
      </c>
      <c r="I131" s="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0</v>
      </c>
      <c r="AB131">
        <v>0</v>
      </c>
      <c r="AC131">
        <v>0</v>
      </c>
      <c r="AD131" s="69">
        <v>8392</v>
      </c>
      <c r="AE131" s="69">
        <v>528</v>
      </c>
      <c r="AF131" s="69">
        <v>484</v>
      </c>
      <c r="AG131" s="69">
        <v>44</v>
      </c>
      <c r="AH131" s="69">
        <v>6.2917063870352719</v>
      </c>
      <c r="AI131" s="69">
        <v>5.7673975214489994</v>
      </c>
      <c r="AJ131" s="69">
        <v>0.52430886558627265</v>
      </c>
    </row>
    <row r="132" spans="1:36" x14ac:dyDescent="0.25">
      <c r="A132">
        <v>34130</v>
      </c>
      <c r="B132" s="85" t="str">
        <f>VLOOKUP(A132,ADM!$A$1:$R$343,14,0)</f>
        <v>CC les Avant-Monts</v>
      </c>
      <c r="C132" t="s">
        <v>562</v>
      </c>
      <c r="D132" s="8" t="s">
        <v>115</v>
      </c>
      <c r="E132" s="4">
        <v>0.13700000000000001</v>
      </c>
      <c r="I132" s="8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 s="69">
        <v>1027</v>
      </c>
      <c r="AE132" s="69">
        <v>103</v>
      </c>
      <c r="AF132" s="69">
        <v>59</v>
      </c>
      <c r="AG132" s="69">
        <v>44</v>
      </c>
      <c r="AH132" s="69">
        <v>10.029211295034079</v>
      </c>
      <c r="AI132" s="69">
        <v>5.744888023369036</v>
      </c>
      <c r="AJ132" s="69">
        <v>4.2843232716650439</v>
      </c>
    </row>
    <row r="133" spans="1:36" x14ac:dyDescent="0.25">
      <c r="A133">
        <v>34131</v>
      </c>
      <c r="B133" s="85" t="str">
        <f>VLOOKUP(A133,ADM!$A$1:$R$343,14,0)</f>
        <v>CC du Grand Pic Saint-Loup</v>
      </c>
      <c r="C133" t="s">
        <v>564</v>
      </c>
      <c r="D133" s="8" t="s">
        <v>115</v>
      </c>
      <c r="E133" s="4" t="s">
        <v>1132</v>
      </c>
      <c r="I133" s="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 s="69" t="s">
        <v>1132</v>
      </c>
      <c r="AE133" s="69" t="s">
        <v>1132</v>
      </c>
      <c r="AF133" s="69" t="s">
        <v>1132</v>
      </c>
      <c r="AG133" s="69" t="s">
        <v>1132</v>
      </c>
      <c r="AH133" s="69" t="s">
        <v>1132</v>
      </c>
      <c r="AI133" s="69" t="s">
        <v>1132</v>
      </c>
      <c r="AJ133" s="69" t="s">
        <v>1132</v>
      </c>
    </row>
    <row r="134" spans="1:36" x14ac:dyDescent="0.25">
      <c r="A134">
        <v>34132</v>
      </c>
      <c r="B134" s="85" t="str">
        <f>VLOOKUP(A134,ADM!$A$1:$R$343,14,0)</f>
        <v>CC Lodévois et Larzac</v>
      </c>
      <c r="C134" t="s">
        <v>566</v>
      </c>
      <c r="D134" s="8" t="s">
        <v>115</v>
      </c>
      <c r="E134" s="4">
        <v>0.159</v>
      </c>
      <c r="I134" s="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 s="69" t="s">
        <v>1132</v>
      </c>
      <c r="AE134" s="69" t="s">
        <v>1132</v>
      </c>
      <c r="AF134" s="69" t="s">
        <v>1132</v>
      </c>
      <c r="AG134" s="69" t="s">
        <v>1132</v>
      </c>
      <c r="AH134" s="69" t="s">
        <v>1132</v>
      </c>
      <c r="AI134" s="69" t="s">
        <v>1132</v>
      </c>
      <c r="AJ134" s="69" t="s">
        <v>1132</v>
      </c>
    </row>
    <row r="135" spans="1:36" x14ac:dyDescent="0.25">
      <c r="A135">
        <v>34133</v>
      </c>
      <c r="B135" s="85" t="str">
        <f>VLOOKUP(A135,ADM!$A$1:$R$343,14,0)</f>
        <v>CC Lodévois et Larzac</v>
      </c>
      <c r="C135" t="s">
        <v>568</v>
      </c>
      <c r="D135" s="8" t="s">
        <v>115</v>
      </c>
      <c r="E135" s="4" t="s">
        <v>1132</v>
      </c>
      <c r="I135" s="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 s="69" t="s">
        <v>1132</v>
      </c>
      <c r="AE135" s="69" t="s">
        <v>1132</v>
      </c>
      <c r="AF135" s="69" t="s">
        <v>1132</v>
      </c>
      <c r="AG135" s="69" t="s">
        <v>1132</v>
      </c>
      <c r="AH135" s="69" t="s">
        <v>1132</v>
      </c>
      <c r="AI135" s="69" t="s">
        <v>1132</v>
      </c>
      <c r="AJ135" s="69" t="s">
        <v>1132</v>
      </c>
    </row>
    <row r="136" spans="1:36" x14ac:dyDescent="0.25">
      <c r="A136">
        <v>34134</v>
      </c>
      <c r="B136" s="85" t="str">
        <f>VLOOKUP(A136,ADM!$A$1:$R$343,14,0)</f>
        <v>Montpellier Méditerranée Métropole</v>
      </c>
      <c r="C136" t="s">
        <v>570</v>
      </c>
      <c r="D136" s="8" t="s">
        <v>195</v>
      </c>
      <c r="E136" s="4">
        <v>3.3000000000000002E-2</v>
      </c>
      <c r="I136" s="8">
        <v>0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 s="69">
        <v>1399</v>
      </c>
      <c r="AE136" s="69">
        <v>88</v>
      </c>
      <c r="AF136" s="69">
        <v>76</v>
      </c>
      <c r="AG136" s="69">
        <v>12</v>
      </c>
      <c r="AH136" s="69">
        <v>6.290207290922087</v>
      </c>
      <c r="AI136" s="69">
        <v>5.432451751250893</v>
      </c>
      <c r="AJ136" s="69">
        <v>0.85775553967119367</v>
      </c>
    </row>
    <row r="137" spans="1:36" x14ac:dyDescent="0.25">
      <c r="A137">
        <v>34135</v>
      </c>
      <c r="B137" s="85" t="str">
        <f>VLOOKUP(A137,ADM!$A$1:$R$343,14,0)</f>
        <v>CC la Domitienne</v>
      </c>
      <c r="C137" t="s">
        <v>574</v>
      </c>
      <c r="D137" s="8" t="s">
        <v>115</v>
      </c>
      <c r="E137" s="4">
        <v>8.5999999999999993E-2</v>
      </c>
      <c r="I137" s="8">
        <v>0</v>
      </c>
      <c r="J137">
        <v>1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 s="69">
        <v>1816</v>
      </c>
      <c r="AE137" s="69">
        <v>134</v>
      </c>
      <c r="AF137" s="69">
        <v>67</v>
      </c>
      <c r="AG137" s="69">
        <v>67</v>
      </c>
      <c r="AH137" s="69">
        <v>7.3788546255506615</v>
      </c>
      <c r="AI137" s="69">
        <v>3.6894273127753308</v>
      </c>
      <c r="AJ137" s="69">
        <v>3.6894273127753308</v>
      </c>
    </row>
    <row r="138" spans="1:36" x14ac:dyDescent="0.25">
      <c r="A138">
        <v>34136</v>
      </c>
      <c r="B138" s="85" t="str">
        <f>VLOOKUP(A138,ADM!$A$1:$R$343,14,0)</f>
        <v>CA Hérault-Méditerranée</v>
      </c>
      <c r="C138" t="s">
        <v>580</v>
      </c>
      <c r="D138" s="8" t="s">
        <v>115</v>
      </c>
      <c r="E138" s="4">
        <v>0.14499999999999999</v>
      </c>
      <c r="I138" s="8">
        <v>0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2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2</v>
      </c>
      <c r="AC138">
        <v>0</v>
      </c>
      <c r="AD138" s="69">
        <v>780</v>
      </c>
      <c r="AE138" s="69">
        <v>71</v>
      </c>
      <c r="AF138" s="69">
        <v>42</v>
      </c>
      <c r="AG138" s="69">
        <v>29</v>
      </c>
      <c r="AH138" s="69">
        <v>9.1025641025641022</v>
      </c>
      <c r="AI138" s="69">
        <v>5.384615384615385</v>
      </c>
      <c r="AJ138" s="69">
        <v>3.7179487179487181</v>
      </c>
    </row>
    <row r="139" spans="1:36" x14ac:dyDescent="0.25">
      <c r="A139">
        <v>34137</v>
      </c>
      <c r="B139" s="85" t="str">
        <f>VLOOKUP(A139,ADM!$A$1:$R$343,14,0)</f>
        <v>CC du Clermontais</v>
      </c>
      <c r="C139" t="s">
        <v>583</v>
      </c>
      <c r="D139" s="8" t="s">
        <v>115</v>
      </c>
      <c r="E139" s="4" t="s">
        <v>1132</v>
      </c>
      <c r="I139" s="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 s="69" t="s">
        <v>1132</v>
      </c>
      <c r="AE139" s="69" t="s">
        <v>1132</v>
      </c>
      <c r="AF139" s="69" t="s">
        <v>1132</v>
      </c>
      <c r="AG139" s="69" t="s">
        <v>1132</v>
      </c>
      <c r="AH139" s="69" t="s">
        <v>1132</v>
      </c>
      <c r="AI139" s="69" t="s">
        <v>1132</v>
      </c>
      <c r="AJ139" s="69" t="s">
        <v>1132</v>
      </c>
    </row>
    <row r="140" spans="1:36" x14ac:dyDescent="0.25">
      <c r="A140">
        <v>34138</v>
      </c>
      <c r="B140" s="85" t="str">
        <f>VLOOKUP(A140,ADM!$A$1:$R$343,14,0)</f>
        <v>CC du Clermontais</v>
      </c>
      <c r="C140" t="s">
        <v>585</v>
      </c>
      <c r="D140" s="8" t="s">
        <v>115</v>
      </c>
      <c r="E140" s="4" t="s">
        <v>1132</v>
      </c>
      <c r="I140" s="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 s="69" t="s">
        <v>1132</v>
      </c>
      <c r="AE140" s="69" t="s">
        <v>1132</v>
      </c>
      <c r="AF140" s="69" t="s">
        <v>1132</v>
      </c>
      <c r="AG140" s="69" t="s">
        <v>1132</v>
      </c>
      <c r="AH140" s="69" t="s">
        <v>1132</v>
      </c>
      <c r="AI140" s="69" t="s">
        <v>1132</v>
      </c>
      <c r="AJ140" s="69" t="s">
        <v>1132</v>
      </c>
    </row>
    <row r="141" spans="1:36" x14ac:dyDescent="0.25">
      <c r="A141">
        <v>34139</v>
      </c>
      <c r="B141" s="85" t="str">
        <f>VLOOKUP(A141,ADM!$A$1:$R$343,14,0)</f>
        <v>CA de Béziers-Méditerranée</v>
      </c>
      <c r="C141" t="s">
        <v>587</v>
      </c>
      <c r="D141" s="8" t="s">
        <v>243</v>
      </c>
      <c r="E141" s="4">
        <v>8.5000000000000006E-2</v>
      </c>
      <c r="I141" s="8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s="69">
        <v>701</v>
      </c>
      <c r="AE141" s="69">
        <v>53</v>
      </c>
      <c r="AF141" s="69">
        <v>32</v>
      </c>
      <c r="AG141" s="69">
        <v>21</v>
      </c>
      <c r="AH141" s="69">
        <v>7.5606276747503571</v>
      </c>
      <c r="AI141" s="69">
        <v>4.5649072753209703</v>
      </c>
      <c r="AJ141" s="69">
        <v>2.9957203994293864</v>
      </c>
    </row>
    <row r="142" spans="1:36" x14ac:dyDescent="0.25">
      <c r="A142">
        <v>34140</v>
      </c>
      <c r="B142" s="85" t="str">
        <f>VLOOKUP(A142,ADM!$A$1:$R$343,14,0)</f>
        <v>CA de Béziers-Méditerranée</v>
      </c>
      <c r="C142" t="s">
        <v>590</v>
      </c>
      <c r="D142" s="8" t="s">
        <v>243</v>
      </c>
      <c r="E142" s="4">
        <v>5.5E-2</v>
      </c>
      <c r="I142" s="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 s="69">
        <v>1529</v>
      </c>
      <c r="AE142" s="69">
        <v>71</v>
      </c>
      <c r="AF142" s="69">
        <v>55</v>
      </c>
      <c r="AG142" s="69">
        <v>16</v>
      </c>
      <c r="AH142" s="69">
        <v>4.6435578809679532</v>
      </c>
      <c r="AI142" s="69">
        <v>3.5971223021582732</v>
      </c>
      <c r="AJ142" s="69">
        <v>1.0464355788096795</v>
      </c>
    </row>
    <row r="143" spans="1:36" x14ac:dyDescent="0.25">
      <c r="A143">
        <v>34141</v>
      </c>
      <c r="B143" s="85" t="str">
        <f>VLOOKUP(A143,ADM!$A$1:$R$343,14,0)</f>
        <v>CC Du Minervois au Caroux en Haut-Languedoc</v>
      </c>
      <c r="C143" t="s">
        <v>593</v>
      </c>
      <c r="D143" s="8" t="s">
        <v>115</v>
      </c>
      <c r="E143" s="4">
        <v>0.14299999999999999</v>
      </c>
      <c r="I143" s="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 s="69">
        <v>486</v>
      </c>
      <c r="AE143" s="69">
        <v>81</v>
      </c>
      <c r="AF143" s="69">
        <v>29</v>
      </c>
      <c r="AG143" s="69">
        <v>52</v>
      </c>
      <c r="AH143" s="69">
        <v>16.666666666666664</v>
      </c>
      <c r="AI143" s="69">
        <v>5.9670781893004117</v>
      </c>
      <c r="AJ143" s="69">
        <v>10.699588477366255</v>
      </c>
    </row>
    <row r="144" spans="1:36" x14ac:dyDescent="0.25">
      <c r="A144">
        <v>34142</v>
      </c>
      <c r="B144" s="85" t="str">
        <f>VLOOKUP(A144,ADM!$A$1:$R$343,14,0)</f>
        <v>CC Lodévois et Larzac</v>
      </c>
      <c r="C144" t="s">
        <v>449</v>
      </c>
      <c r="D144" s="8" t="s">
        <v>115</v>
      </c>
      <c r="E144" s="4">
        <v>0.20799999999999999</v>
      </c>
      <c r="I144" s="8">
        <v>0</v>
      </c>
      <c r="J144">
        <v>2</v>
      </c>
      <c r="K144">
        <v>2</v>
      </c>
      <c r="L144">
        <v>0</v>
      </c>
      <c r="M144">
        <v>4</v>
      </c>
      <c r="N144">
        <v>2</v>
      </c>
      <c r="O144">
        <v>0</v>
      </c>
      <c r="P144">
        <v>6</v>
      </c>
      <c r="Q144">
        <v>4</v>
      </c>
      <c r="R144">
        <v>0</v>
      </c>
      <c r="S144">
        <v>3</v>
      </c>
      <c r="T144">
        <v>2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</v>
      </c>
      <c r="AD144" s="69">
        <v>4447</v>
      </c>
      <c r="AE144" s="69">
        <v>717</v>
      </c>
      <c r="AF144" s="69">
        <v>422</v>
      </c>
      <c r="AG144" s="69">
        <v>295</v>
      </c>
      <c r="AH144" s="69">
        <v>16.123229143242636</v>
      </c>
      <c r="AI144" s="69">
        <v>9.4895435124803242</v>
      </c>
      <c r="AJ144" s="69">
        <v>6.6336856307623124</v>
      </c>
    </row>
    <row r="145" spans="1:36" x14ac:dyDescent="0.25">
      <c r="A145">
        <v>34143</v>
      </c>
      <c r="B145" s="85" t="str">
        <f>VLOOKUP(A145,ADM!$A$1:$R$343,14,0)</f>
        <v>Sète Agglopôle Méditerranée</v>
      </c>
      <c r="C145" t="s">
        <v>597</v>
      </c>
      <c r="D145" s="8" t="s">
        <v>243</v>
      </c>
      <c r="E145" s="4">
        <v>0.11899999999999999</v>
      </c>
      <c r="I145" s="8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 s="69">
        <v>1240</v>
      </c>
      <c r="AE145" s="69">
        <v>102</v>
      </c>
      <c r="AF145" s="69">
        <v>70</v>
      </c>
      <c r="AG145" s="69">
        <v>32</v>
      </c>
      <c r="AH145" s="69">
        <v>8.2258064516129039</v>
      </c>
      <c r="AI145" s="69">
        <v>5.6451612903225801</v>
      </c>
      <c r="AJ145" s="69">
        <v>2.5806451612903225</v>
      </c>
    </row>
    <row r="146" spans="1:36" x14ac:dyDescent="0.25">
      <c r="A146">
        <v>34144</v>
      </c>
      <c r="B146" s="85" t="str">
        <f>VLOOKUP(A146,ADM!$A$1:$R$343,14,0)</f>
        <v>CC Grand Orb en Languedoc</v>
      </c>
      <c r="C146" t="s">
        <v>601</v>
      </c>
      <c r="D146" s="8" t="s">
        <v>115</v>
      </c>
      <c r="E146" s="4">
        <v>0.13400000000000001</v>
      </c>
      <c r="I146" s="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</v>
      </c>
      <c r="Q146">
        <v>0</v>
      </c>
      <c r="R146">
        <v>0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 s="69">
        <v>607</v>
      </c>
      <c r="AE146" s="69">
        <v>62</v>
      </c>
      <c r="AF146" s="69">
        <v>36</v>
      </c>
      <c r="AG146" s="69">
        <v>26</v>
      </c>
      <c r="AH146" s="69">
        <v>10.214168039538714</v>
      </c>
      <c r="AI146" s="69">
        <v>5.930807248764415</v>
      </c>
      <c r="AJ146" s="69">
        <v>4.2833607907743003</v>
      </c>
    </row>
    <row r="147" spans="1:36" x14ac:dyDescent="0.25">
      <c r="A147">
        <v>34145</v>
      </c>
      <c r="B147" s="85" t="str">
        <f>VLOOKUP(A147,ADM!$A$1:$R$343,14,0)</f>
        <v>CC du Pays de Lunel</v>
      </c>
      <c r="C147" t="s">
        <v>603</v>
      </c>
      <c r="D147" s="8" t="s">
        <v>135</v>
      </c>
      <c r="E147" s="4">
        <v>0.104</v>
      </c>
      <c r="I147" s="8">
        <v>0</v>
      </c>
      <c r="J147">
        <v>2</v>
      </c>
      <c r="K147">
        <v>1</v>
      </c>
      <c r="L147">
        <v>0</v>
      </c>
      <c r="M147">
        <v>0</v>
      </c>
      <c r="N147">
        <v>0</v>
      </c>
      <c r="O147">
        <v>2</v>
      </c>
      <c r="P147">
        <v>3</v>
      </c>
      <c r="Q147">
        <v>3</v>
      </c>
      <c r="R147">
        <v>0</v>
      </c>
      <c r="S147">
        <v>1</v>
      </c>
      <c r="T147">
        <v>1</v>
      </c>
      <c r="U147">
        <v>0</v>
      </c>
      <c r="V147">
        <v>1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1</v>
      </c>
      <c r="AC147">
        <v>0</v>
      </c>
      <c r="AD147" s="69">
        <v>11326</v>
      </c>
      <c r="AE147" s="69">
        <v>1105</v>
      </c>
      <c r="AF147" s="69">
        <v>757</v>
      </c>
      <c r="AG147" s="69">
        <v>348</v>
      </c>
      <c r="AH147" s="69">
        <v>9.7563129083524629</v>
      </c>
      <c r="AI147" s="69">
        <v>6.683736535405262</v>
      </c>
      <c r="AJ147" s="69">
        <v>3.0725763729472009</v>
      </c>
    </row>
    <row r="148" spans="1:36" x14ac:dyDescent="0.25">
      <c r="A148">
        <v>34146</v>
      </c>
      <c r="B148" s="85" t="str">
        <f>VLOOKUP(A148,ADM!$A$1:$R$343,14,0)</f>
        <v>CC du Pays de Lunel</v>
      </c>
      <c r="C148" t="s">
        <v>607</v>
      </c>
      <c r="D148" s="8" t="s">
        <v>135</v>
      </c>
      <c r="E148" s="4">
        <v>5.3999999999999999E-2</v>
      </c>
      <c r="I148" s="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 s="69">
        <v>1676</v>
      </c>
      <c r="AE148" s="69">
        <v>110</v>
      </c>
      <c r="AF148" s="69">
        <v>84</v>
      </c>
      <c r="AG148" s="69">
        <v>26</v>
      </c>
      <c r="AH148" s="69">
        <v>6.5632458233890221</v>
      </c>
      <c r="AI148" s="69">
        <v>5.0119331742243434</v>
      </c>
      <c r="AJ148" s="69">
        <v>1.5513126491646778</v>
      </c>
    </row>
    <row r="149" spans="1:36" x14ac:dyDescent="0.25">
      <c r="A149">
        <v>34147</v>
      </c>
      <c r="B149" s="85" t="str">
        <f>VLOOKUP(A149,ADM!$A$1:$R$343,14,0)</f>
        <v>CC les Avant-Monts</v>
      </c>
      <c r="C149" t="s">
        <v>612</v>
      </c>
      <c r="D149" s="8" t="s">
        <v>115</v>
      </c>
      <c r="E149" s="4">
        <v>0.109</v>
      </c>
      <c r="I149" s="8">
        <v>0</v>
      </c>
      <c r="J149">
        <v>1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 s="69">
        <v>1727</v>
      </c>
      <c r="AE149" s="69">
        <v>165</v>
      </c>
      <c r="AF149" s="69">
        <v>85</v>
      </c>
      <c r="AG149" s="69">
        <v>80</v>
      </c>
      <c r="AH149" s="69">
        <v>9.5541401273885356</v>
      </c>
      <c r="AI149" s="69">
        <v>4.9218297625940943</v>
      </c>
      <c r="AJ149" s="69">
        <v>4.6323103647944412</v>
      </c>
    </row>
    <row r="150" spans="1:36" x14ac:dyDescent="0.25">
      <c r="A150">
        <v>34148</v>
      </c>
      <c r="B150" s="85" t="str">
        <f>VLOOKUP(A150,ADM!$A$1:$R$343,14,0)</f>
        <v>CC la Domitienne</v>
      </c>
      <c r="C150" t="s">
        <v>615</v>
      </c>
      <c r="D150" s="8" t="s">
        <v>243</v>
      </c>
      <c r="E150" s="4">
        <v>8.3000000000000004E-2</v>
      </c>
      <c r="I150" s="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2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 s="69">
        <v>2120</v>
      </c>
      <c r="AE150" s="69">
        <v>151</v>
      </c>
      <c r="AF150" s="69">
        <v>102</v>
      </c>
      <c r="AG150" s="69">
        <v>49</v>
      </c>
      <c r="AH150" s="69">
        <v>7.1226415094339623</v>
      </c>
      <c r="AI150" s="69">
        <v>4.8113207547169816</v>
      </c>
      <c r="AJ150" s="69">
        <v>2.3113207547169812</v>
      </c>
    </row>
    <row r="151" spans="1:36" x14ac:dyDescent="0.25">
      <c r="A151">
        <v>34149</v>
      </c>
      <c r="B151" s="85" t="str">
        <f>VLOOKUP(A151,ADM!$A$1:$R$343,14,0)</f>
        <v>CC les Avant-Monts</v>
      </c>
      <c r="C151" t="s">
        <v>620</v>
      </c>
      <c r="D151" s="8" t="s">
        <v>115</v>
      </c>
      <c r="E151" s="4" t="s">
        <v>1132</v>
      </c>
      <c r="I151" s="8">
        <v>0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 s="69" t="s">
        <v>1132</v>
      </c>
      <c r="AE151" s="69" t="s">
        <v>1132</v>
      </c>
      <c r="AF151" s="69" t="s">
        <v>1132</v>
      </c>
      <c r="AG151" s="69" t="s">
        <v>1132</v>
      </c>
      <c r="AH151" s="69" t="s">
        <v>1132</v>
      </c>
      <c r="AI151" s="69" t="s">
        <v>1132</v>
      </c>
      <c r="AJ151" s="69" t="s">
        <v>1132</v>
      </c>
    </row>
    <row r="152" spans="1:36" x14ac:dyDescent="0.25">
      <c r="A152">
        <v>34150</v>
      </c>
      <c r="B152" s="85" t="str">
        <f>VLOOKUP(A152,ADM!$A$1:$R$343,14,0)</f>
        <v>Sète Agglopôle Méditerranée</v>
      </c>
      <c r="C152" t="s">
        <v>623</v>
      </c>
      <c r="D152" s="8" t="s">
        <v>135</v>
      </c>
      <c r="E152" s="4">
        <v>0.16500000000000001</v>
      </c>
      <c r="I152" s="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1</v>
      </c>
      <c r="AB152">
        <v>0</v>
      </c>
      <c r="AC152">
        <v>0</v>
      </c>
      <c r="AD152" s="69">
        <v>10016</v>
      </c>
      <c r="AE152" s="69">
        <v>579</v>
      </c>
      <c r="AF152" s="69">
        <v>385</v>
      </c>
      <c r="AG152" s="69">
        <v>194</v>
      </c>
      <c r="AH152" s="69">
        <v>5.7807507987220443</v>
      </c>
      <c r="AI152" s="69">
        <v>3.8438498402555914</v>
      </c>
      <c r="AJ152" s="69">
        <v>1.9369009584664536</v>
      </c>
    </row>
    <row r="153" spans="1:36" x14ac:dyDescent="0.25">
      <c r="A153">
        <v>34151</v>
      </c>
      <c r="B153" s="85" t="str">
        <f>VLOOKUP(A153,ADM!$A$1:$R$343,14,0)</f>
        <v>CC du Pays de Lunel</v>
      </c>
      <c r="C153" t="s">
        <v>628</v>
      </c>
      <c r="D153" s="8" t="s">
        <v>135</v>
      </c>
      <c r="E153" s="4">
        <v>0.11600000000000001</v>
      </c>
      <c r="I153" s="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2</v>
      </c>
      <c r="V153">
        <v>0</v>
      </c>
      <c r="W153">
        <v>0</v>
      </c>
      <c r="X153">
        <v>2</v>
      </c>
      <c r="Y153">
        <v>0</v>
      </c>
      <c r="Z153">
        <v>0</v>
      </c>
      <c r="AA153">
        <v>0</v>
      </c>
      <c r="AB153">
        <v>0</v>
      </c>
      <c r="AC153">
        <v>0</v>
      </c>
      <c r="AD153" s="69">
        <v>3347</v>
      </c>
      <c r="AE153" s="69">
        <v>323</v>
      </c>
      <c r="AF153" s="69">
        <v>242</v>
      </c>
      <c r="AG153" s="69">
        <v>81</v>
      </c>
      <c r="AH153" s="69">
        <v>9.6504332237824926</v>
      </c>
      <c r="AI153" s="69">
        <v>7.2303555422766657</v>
      </c>
      <c r="AJ153" s="69">
        <v>2.420077681505826</v>
      </c>
    </row>
    <row r="154" spans="1:36" x14ac:dyDescent="0.25">
      <c r="A154">
        <v>34152</v>
      </c>
      <c r="B154" s="85" t="str">
        <f>VLOOKUP(A154,ADM!$A$1:$R$343,14,0)</f>
        <v>CC du Grand Pic Saint-Loup</v>
      </c>
      <c r="C154" t="s">
        <v>634</v>
      </c>
      <c r="D154" s="8" t="s">
        <v>115</v>
      </c>
      <c r="E154" s="4">
        <v>6.8000000000000005E-2</v>
      </c>
      <c r="I154" s="8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 s="69">
        <v>292</v>
      </c>
      <c r="AE154" s="69">
        <v>26</v>
      </c>
      <c r="AF154" s="69">
        <v>13</v>
      </c>
      <c r="AG154" s="69">
        <v>13</v>
      </c>
      <c r="AH154" s="69">
        <v>8.9041095890410951</v>
      </c>
      <c r="AI154" s="69">
        <v>4.4520547945205475</v>
      </c>
      <c r="AJ154" s="69">
        <v>4.4520547945205475</v>
      </c>
    </row>
    <row r="155" spans="1:36" x14ac:dyDescent="0.25">
      <c r="A155">
        <v>34153</v>
      </c>
      <c r="B155" s="85" t="str">
        <f>VLOOKUP(A155,ADM!$A$1:$R$343,14,0)</f>
        <v>CC du Grand Pic Saint-Loup</v>
      </c>
      <c r="C155" t="s">
        <v>636</v>
      </c>
      <c r="D155" s="8" t="s">
        <v>115</v>
      </c>
      <c r="E155" s="4" t="s">
        <v>1132</v>
      </c>
      <c r="I155" s="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 s="69">
        <v>922</v>
      </c>
      <c r="AE155" s="69">
        <v>53</v>
      </c>
      <c r="AF155" s="69">
        <v>30</v>
      </c>
      <c r="AG155" s="69">
        <v>23</v>
      </c>
      <c r="AH155" s="69">
        <v>5.7483731019522777</v>
      </c>
      <c r="AI155" s="69">
        <v>3.2537960954446854</v>
      </c>
      <c r="AJ155" s="69">
        <v>2.4945770065075923</v>
      </c>
    </row>
    <row r="156" spans="1:36" x14ac:dyDescent="0.25">
      <c r="A156">
        <v>34154</v>
      </c>
      <c r="B156" s="85" t="str">
        <f>VLOOKUP(A156,ADM!$A$1:$R$343,14,0)</f>
        <v>CA du Pays de l'Or</v>
      </c>
      <c r="C156" t="s">
        <v>638</v>
      </c>
      <c r="D156" s="8" t="s">
        <v>195</v>
      </c>
      <c r="E156" s="4">
        <v>2.8000000000000001E-2</v>
      </c>
      <c r="I156" s="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 s="69">
        <v>12751</v>
      </c>
      <c r="AE156" s="69">
        <v>1075</v>
      </c>
      <c r="AF156" s="69">
        <v>889</v>
      </c>
      <c r="AG156" s="69">
        <v>186</v>
      </c>
      <c r="AH156" s="69">
        <v>8.4307113167594707</v>
      </c>
      <c r="AI156" s="69">
        <v>6.9720021959062031</v>
      </c>
      <c r="AJ156" s="69">
        <v>1.4587091208532663</v>
      </c>
    </row>
    <row r="157" spans="1:36" x14ac:dyDescent="0.25">
      <c r="A157">
        <v>34155</v>
      </c>
      <c r="B157" s="85" t="str">
        <f>VLOOKUP(A157,ADM!$A$1:$R$343,14,0)</f>
        <v>CC la Domitienne</v>
      </c>
      <c r="C157" t="s">
        <v>641</v>
      </c>
      <c r="D157" s="8" t="s">
        <v>115</v>
      </c>
      <c r="E157" s="4">
        <v>0.126</v>
      </c>
      <c r="I157" s="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 s="69">
        <v>1180</v>
      </c>
      <c r="AE157" s="69">
        <v>98</v>
      </c>
      <c r="AF157" s="69">
        <v>47</v>
      </c>
      <c r="AG157" s="69">
        <v>51</v>
      </c>
      <c r="AH157" s="69">
        <v>8.3050847457627111</v>
      </c>
      <c r="AI157" s="69">
        <v>3.9830508474576267</v>
      </c>
      <c r="AJ157" s="69">
        <v>4.3220338983050848</v>
      </c>
    </row>
    <row r="158" spans="1:36" x14ac:dyDescent="0.25">
      <c r="A158">
        <v>34156</v>
      </c>
      <c r="B158" s="85" t="str">
        <f>VLOOKUP(A158,ADM!$A$1:$R$343,14,0)</f>
        <v>CC du Clermontais</v>
      </c>
      <c r="C158" t="s">
        <v>644</v>
      </c>
      <c r="D158" s="8" t="s">
        <v>115</v>
      </c>
      <c r="E158" s="4" t="s">
        <v>1132</v>
      </c>
      <c r="I158" s="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 s="69" t="s">
        <v>1132</v>
      </c>
      <c r="AE158" s="69" t="s">
        <v>1132</v>
      </c>
      <c r="AF158" s="69" t="s">
        <v>1132</v>
      </c>
      <c r="AG158" s="69" t="s">
        <v>1132</v>
      </c>
      <c r="AH158" s="69" t="s">
        <v>1132</v>
      </c>
      <c r="AI158" s="69" t="s">
        <v>1132</v>
      </c>
      <c r="AJ158" s="69" t="s">
        <v>1132</v>
      </c>
    </row>
    <row r="159" spans="1:36" x14ac:dyDescent="0.25">
      <c r="A159">
        <v>34157</v>
      </c>
      <c r="B159" s="85" t="str">
        <f>VLOOKUP(A159,ADM!$A$1:$R$343,14,0)</f>
        <v>Sète Agglopôle Méditerranée</v>
      </c>
      <c r="C159" t="s">
        <v>646</v>
      </c>
      <c r="D159" s="8" t="s">
        <v>135</v>
      </c>
      <c r="E159" s="4">
        <v>7.5999999999999998E-2</v>
      </c>
      <c r="I159" s="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5</v>
      </c>
      <c r="S159">
        <v>1</v>
      </c>
      <c r="T159">
        <v>0</v>
      </c>
      <c r="U159">
        <v>2</v>
      </c>
      <c r="V159">
        <v>1</v>
      </c>
      <c r="W159">
        <v>0</v>
      </c>
      <c r="X159">
        <v>2</v>
      </c>
      <c r="Y159">
        <v>0</v>
      </c>
      <c r="Z159">
        <v>0</v>
      </c>
      <c r="AA159">
        <v>0</v>
      </c>
      <c r="AB159">
        <v>1</v>
      </c>
      <c r="AC159">
        <v>0</v>
      </c>
      <c r="AD159" s="69">
        <v>6608</v>
      </c>
      <c r="AE159" s="69">
        <v>539</v>
      </c>
      <c r="AF159" s="69">
        <v>398</v>
      </c>
      <c r="AG159" s="69">
        <v>141</v>
      </c>
      <c r="AH159" s="69">
        <v>8.1567796610169498</v>
      </c>
      <c r="AI159" s="69">
        <v>6.0230024213075062</v>
      </c>
      <c r="AJ159" s="69">
        <v>2.1337772397094432</v>
      </c>
    </row>
    <row r="160" spans="1:36" x14ac:dyDescent="0.25">
      <c r="A160">
        <v>34158</v>
      </c>
      <c r="B160" s="85" t="str">
        <f>VLOOKUP(A160,ADM!$A$1:$R$343,14,0)</f>
        <v>CC Du Minervois au Caroux en Haut-Languedoc</v>
      </c>
      <c r="C160" t="s">
        <v>651</v>
      </c>
      <c r="D160" s="8" t="s">
        <v>115</v>
      </c>
      <c r="E160" s="4" t="s">
        <v>1132</v>
      </c>
      <c r="I160" s="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 s="69" t="s">
        <v>1132</v>
      </c>
      <c r="AE160" s="69" t="s">
        <v>1132</v>
      </c>
      <c r="AF160" s="69" t="s">
        <v>1132</v>
      </c>
      <c r="AG160" s="69" t="s">
        <v>1132</v>
      </c>
      <c r="AH160" s="69" t="s">
        <v>1132</v>
      </c>
      <c r="AI160" s="69" t="s">
        <v>1132</v>
      </c>
      <c r="AJ160" s="69" t="s">
        <v>1132</v>
      </c>
    </row>
    <row r="161" spans="1:36" x14ac:dyDescent="0.25">
      <c r="A161">
        <v>34159</v>
      </c>
      <c r="B161" s="85" t="str">
        <f>VLOOKUP(A161,ADM!$A$1:$R$343,14,0)</f>
        <v>Sète Agglopôle Méditerranée</v>
      </c>
      <c r="C161" t="s">
        <v>653</v>
      </c>
      <c r="D161" s="8" t="s">
        <v>135</v>
      </c>
      <c r="E161" s="4">
        <v>0.06</v>
      </c>
      <c r="I161" s="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 s="69">
        <v>1505</v>
      </c>
      <c r="AE161" s="69">
        <v>90</v>
      </c>
      <c r="AF161" s="69">
        <v>64</v>
      </c>
      <c r="AG161" s="69">
        <v>26</v>
      </c>
      <c r="AH161" s="69">
        <v>5.9800664451827243</v>
      </c>
      <c r="AI161" s="69">
        <v>4.2524916943521598</v>
      </c>
      <c r="AJ161" s="69">
        <v>1.7275747508305648</v>
      </c>
    </row>
    <row r="162" spans="1:36" x14ac:dyDescent="0.25">
      <c r="A162">
        <v>34160</v>
      </c>
      <c r="B162" s="85" t="str">
        <f>VLOOKUP(A162,ADM!$A$1:$R$343,14,0)</f>
        <v>CC Du Minervois au Caroux en Haut-Languedoc</v>
      </c>
      <c r="C162" t="s">
        <v>657</v>
      </c>
      <c r="D162" s="8" t="s">
        <v>115</v>
      </c>
      <c r="E162" s="4">
        <v>0.20300000000000001</v>
      </c>
      <c r="I162" s="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 s="69">
        <v>574</v>
      </c>
      <c r="AE162" s="69">
        <v>41</v>
      </c>
      <c r="AF162" s="69">
        <v>22</v>
      </c>
      <c r="AG162" s="69">
        <v>19</v>
      </c>
      <c r="AH162" s="69">
        <v>7.1428571428571423</v>
      </c>
      <c r="AI162" s="69">
        <v>3.8327526132404177</v>
      </c>
      <c r="AJ162" s="69">
        <v>3.3101045296167246</v>
      </c>
    </row>
    <row r="163" spans="1:36" x14ac:dyDescent="0.25">
      <c r="A163">
        <v>34161</v>
      </c>
      <c r="B163" s="85" t="str">
        <f>VLOOKUP(A163,ADM!$A$1:$R$343,14,0)</f>
        <v>CC la Domitienne</v>
      </c>
      <c r="C163" t="s">
        <v>659</v>
      </c>
      <c r="D163" s="8" t="s">
        <v>243</v>
      </c>
      <c r="E163" s="4">
        <v>7.9000000000000001E-2</v>
      </c>
      <c r="I163" s="8">
        <v>0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 s="69">
        <v>1848</v>
      </c>
      <c r="AE163" s="69">
        <v>110</v>
      </c>
      <c r="AF163" s="69">
        <v>55</v>
      </c>
      <c r="AG163" s="69">
        <v>55</v>
      </c>
      <c r="AH163" s="69">
        <v>5.9523809523809517</v>
      </c>
      <c r="AI163" s="69">
        <v>2.9761904761904758</v>
      </c>
      <c r="AJ163" s="69">
        <v>2.9761904761904758</v>
      </c>
    </row>
    <row r="164" spans="1:36" x14ac:dyDescent="0.25">
      <c r="A164">
        <v>34162</v>
      </c>
      <c r="B164" s="85" t="str">
        <f>VLOOKUP(A164,ADM!$A$1:$R$343,14,0)</f>
        <v>CA Hérault-Méditerranée</v>
      </c>
      <c r="C164" t="s">
        <v>663</v>
      </c>
      <c r="D164" s="8" t="s">
        <v>115</v>
      </c>
      <c r="E164" s="4">
        <v>0.18</v>
      </c>
      <c r="I164" s="8">
        <v>0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3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 s="69">
        <v>2245</v>
      </c>
      <c r="AE164" s="69">
        <v>220</v>
      </c>
      <c r="AF164" s="69">
        <v>114</v>
      </c>
      <c r="AG164" s="69">
        <v>106</v>
      </c>
      <c r="AH164" s="69">
        <v>9.799554565701559</v>
      </c>
      <c r="AI164" s="69">
        <v>5.077951002227171</v>
      </c>
      <c r="AJ164" s="69">
        <v>4.7216035634743871</v>
      </c>
    </row>
    <row r="165" spans="1:36" x14ac:dyDescent="0.25">
      <c r="A165">
        <v>34163</v>
      </c>
      <c r="B165" s="85" t="str">
        <f>VLOOKUP(A165,ADM!$A$1:$R$343,14,0)</f>
        <v>CC Vallée de l'hérault</v>
      </c>
      <c r="C165" t="s">
        <v>668</v>
      </c>
      <c r="D165" s="8" t="s">
        <v>115</v>
      </c>
      <c r="E165" s="4">
        <v>2.8000000000000001E-2</v>
      </c>
      <c r="I165" s="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 s="69">
        <v>1554</v>
      </c>
      <c r="AE165" s="69">
        <v>94</v>
      </c>
      <c r="AF165" s="69">
        <v>62</v>
      </c>
      <c r="AG165" s="69">
        <v>32</v>
      </c>
      <c r="AH165" s="69">
        <v>6.0489060489060487</v>
      </c>
      <c r="AI165" s="69">
        <v>3.9897039897039894</v>
      </c>
      <c r="AJ165" s="69">
        <v>2.0592020592020592</v>
      </c>
    </row>
    <row r="166" spans="1:36" x14ac:dyDescent="0.25">
      <c r="A166">
        <v>34164</v>
      </c>
      <c r="B166" s="85" t="str">
        <f>VLOOKUP(A166,ADM!$A$1:$R$343,14,0)</f>
        <v>Montpellier Méditerranée Métropole</v>
      </c>
      <c r="C166" t="s">
        <v>672</v>
      </c>
      <c r="D166" s="8" t="s">
        <v>115</v>
      </c>
      <c r="E166" s="4" t="s">
        <v>1132</v>
      </c>
      <c r="I166" s="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 s="69" t="s">
        <v>1132</v>
      </c>
      <c r="AE166" s="69" t="s">
        <v>1132</v>
      </c>
      <c r="AF166" s="69" t="s">
        <v>1132</v>
      </c>
      <c r="AG166" s="69" t="s">
        <v>1132</v>
      </c>
      <c r="AH166" s="69" t="s">
        <v>1132</v>
      </c>
      <c r="AI166" s="69" t="s">
        <v>1132</v>
      </c>
      <c r="AJ166" s="69" t="s">
        <v>1132</v>
      </c>
    </row>
    <row r="167" spans="1:36" x14ac:dyDescent="0.25">
      <c r="A167">
        <v>34165</v>
      </c>
      <c r="B167" s="85" t="str">
        <f>VLOOKUP(A167,ADM!$A$1:$R$343,14,0)</f>
        <v>Sète Agglopôle Méditerranée</v>
      </c>
      <c r="C167" t="s">
        <v>674</v>
      </c>
      <c r="D167" s="8" t="s">
        <v>135</v>
      </c>
      <c r="E167" s="4">
        <v>0.11600000000000001</v>
      </c>
      <c r="I167" s="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 s="69">
        <v>1259</v>
      </c>
      <c r="AE167" s="69">
        <v>82</v>
      </c>
      <c r="AF167" s="69">
        <v>71</v>
      </c>
      <c r="AG167" s="69">
        <v>11</v>
      </c>
      <c r="AH167" s="69">
        <v>6.5131056393963469</v>
      </c>
      <c r="AI167" s="69">
        <v>5.6393963463065928</v>
      </c>
      <c r="AJ167" s="69">
        <v>0.87370929308975376</v>
      </c>
    </row>
    <row r="168" spans="1:36" x14ac:dyDescent="0.25">
      <c r="A168">
        <v>34166</v>
      </c>
      <c r="B168" s="85" t="str">
        <f>VLOOKUP(A168,ADM!$A$1:$R$343,14,0)</f>
        <v>CA de Béziers-Méditerranée</v>
      </c>
      <c r="C168" t="s">
        <v>677</v>
      </c>
      <c r="D168" s="8" t="s">
        <v>115</v>
      </c>
      <c r="E168" s="4">
        <v>0.11799999999999999</v>
      </c>
      <c r="I168" s="8">
        <v>0</v>
      </c>
      <c r="J168">
        <v>1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 s="69">
        <v>1421</v>
      </c>
      <c r="AE168" s="69">
        <v>138</v>
      </c>
      <c r="AF168" s="69">
        <v>80</v>
      </c>
      <c r="AG168" s="69">
        <v>58</v>
      </c>
      <c r="AH168" s="69">
        <v>9.7114707952146375</v>
      </c>
      <c r="AI168" s="69">
        <v>5.6298381421534129</v>
      </c>
      <c r="AJ168" s="69">
        <v>4.0816326530612246</v>
      </c>
    </row>
    <row r="169" spans="1:36" x14ac:dyDescent="0.25">
      <c r="A169">
        <v>34167</v>
      </c>
      <c r="B169" s="85" t="str">
        <f>VLOOKUP(A169,ADM!$A$1:$R$343,14,0)</f>
        <v>CC Sud-Hérault</v>
      </c>
      <c r="C169" t="s">
        <v>680</v>
      </c>
      <c r="D169" s="8" t="s">
        <v>115</v>
      </c>
      <c r="E169" s="4">
        <v>0.17499999999999999</v>
      </c>
      <c r="I169" s="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 s="69" t="s">
        <v>1132</v>
      </c>
      <c r="AE169" s="69" t="s">
        <v>1132</v>
      </c>
      <c r="AF169" s="69" t="s">
        <v>1132</v>
      </c>
      <c r="AG169" s="69" t="s">
        <v>1132</v>
      </c>
      <c r="AH169" s="69" t="s">
        <v>1132</v>
      </c>
      <c r="AI169" s="69" t="s">
        <v>1132</v>
      </c>
      <c r="AJ169" s="69" t="s">
        <v>1132</v>
      </c>
    </row>
    <row r="170" spans="1:36" x14ac:dyDescent="0.25">
      <c r="A170">
        <v>34168</v>
      </c>
      <c r="B170" s="85" t="str">
        <f>VLOOKUP(A170,ADM!$A$1:$R$343,14,0)</f>
        <v>CC les Avant-Monts</v>
      </c>
      <c r="C170" t="s">
        <v>682</v>
      </c>
      <c r="D170" s="8" t="s">
        <v>115</v>
      </c>
      <c r="E170" s="4" t="s">
        <v>1132</v>
      </c>
      <c r="I170" s="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 s="69" t="s">
        <v>1132</v>
      </c>
      <c r="AE170" s="69" t="s">
        <v>1132</v>
      </c>
      <c r="AF170" s="69" t="s">
        <v>1132</v>
      </c>
      <c r="AG170" s="69" t="s">
        <v>1132</v>
      </c>
      <c r="AH170" s="69" t="s">
        <v>1132</v>
      </c>
      <c r="AI170" s="69" t="s">
        <v>1132</v>
      </c>
      <c r="AJ170" s="69" t="s">
        <v>1132</v>
      </c>
    </row>
    <row r="171" spans="1:36" x14ac:dyDescent="0.25">
      <c r="A171">
        <v>34169</v>
      </c>
      <c r="B171" s="85" t="str">
        <f>VLOOKUP(A171,ADM!$A$1:$R$343,14,0)</f>
        <v>Montpellier Méditerranée Métropole</v>
      </c>
      <c r="C171" t="s">
        <v>684</v>
      </c>
      <c r="D171" s="8" t="s">
        <v>195</v>
      </c>
      <c r="E171" s="4">
        <v>2.4E-2</v>
      </c>
      <c r="I171" s="8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 s="69">
        <v>1891</v>
      </c>
      <c r="AE171" s="69">
        <v>107</v>
      </c>
      <c r="AF171" s="69">
        <v>89</v>
      </c>
      <c r="AG171" s="69">
        <v>18</v>
      </c>
      <c r="AH171" s="69">
        <v>5.6583818085668955</v>
      </c>
      <c r="AI171" s="69">
        <v>4.7065044949762029</v>
      </c>
      <c r="AJ171" s="69">
        <v>0.95187731359069272</v>
      </c>
    </row>
    <row r="172" spans="1:36" x14ac:dyDescent="0.25">
      <c r="A172">
        <v>34170</v>
      </c>
      <c r="B172" s="85" t="str">
        <f>VLOOKUP(A172,ADM!$A$1:$R$343,14,0)</f>
        <v>CC Sud-Hérault</v>
      </c>
      <c r="C172" t="s">
        <v>689</v>
      </c>
      <c r="D172" s="8" t="s">
        <v>115</v>
      </c>
      <c r="E172" s="4">
        <v>0.157</v>
      </c>
      <c r="I172" s="8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 s="69" t="s">
        <v>1132</v>
      </c>
      <c r="AE172" s="69" t="s">
        <v>1132</v>
      </c>
      <c r="AF172" s="69" t="s">
        <v>1132</v>
      </c>
      <c r="AG172" s="69" t="s">
        <v>1132</v>
      </c>
      <c r="AH172" s="69" t="s">
        <v>1132</v>
      </c>
      <c r="AI172" s="69" t="s">
        <v>1132</v>
      </c>
      <c r="AJ172" s="69" t="s">
        <v>1132</v>
      </c>
    </row>
    <row r="173" spans="1:36" x14ac:dyDescent="0.25">
      <c r="A173">
        <v>34171</v>
      </c>
      <c r="B173" s="85" t="str">
        <f>VLOOKUP(A173,ADM!$A$1:$R$343,14,0)</f>
        <v>CC des Cévennes Gangeoises et Suménoises</v>
      </c>
      <c r="C173" t="s">
        <v>691</v>
      </c>
      <c r="D173" s="8" t="s">
        <v>115</v>
      </c>
      <c r="E173" s="4" t="s">
        <v>1132</v>
      </c>
      <c r="I173" s="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 s="69" t="s">
        <v>1132</v>
      </c>
      <c r="AE173" s="69" t="s">
        <v>1132</v>
      </c>
      <c r="AF173" s="69" t="s">
        <v>1132</v>
      </c>
      <c r="AG173" s="69" t="s">
        <v>1132</v>
      </c>
      <c r="AH173" s="69" t="s">
        <v>1132</v>
      </c>
      <c r="AI173" s="69" t="s">
        <v>1132</v>
      </c>
      <c r="AJ173" s="69" t="s">
        <v>1132</v>
      </c>
    </row>
    <row r="174" spans="1:36" x14ac:dyDescent="0.25">
      <c r="A174">
        <v>34172</v>
      </c>
      <c r="B174" s="85" t="str">
        <f>VLOOKUP(A174,ADM!$A$1:$R$343,14,0)</f>
        <v>Montpellier Méditerranée Métropole</v>
      </c>
      <c r="C174" t="s">
        <v>147</v>
      </c>
      <c r="D174" s="8" t="s">
        <v>195</v>
      </c>
      <c r="E174" s="4">
        <v>4.1000000000000002E-2</v>
      </c>
      <c r="I174" s="8">
        <v>13</v>
      </c>
      <c r="J174">
        <v>8</v>
      </c>
      <c r="K174">
        <v>0</v>
      </c>
      <c r="L174">
        <v>13</v>
      </c>
      <c r="M174">
        <v>19</v>
      </c>
      <c r="N174">
        <v>0</v>
      </c>
      <c r="O174">
        <v>8</v>
      </c>
      <c r="P174">
        <v>25</v>
      </c>
      <c r="Q174">
        <v>0</v>
      </c>
      <c r="R174">
        <v>5</v>
      </c>
      <c r="S174">
        <v>7</v>
      </c>
      <c r="T174">
        <v>0</v>
      </c>
      <c r="U174">
        <v>9</v>
      </c>
      <c r="V174">
        <v>7</v>
      </c>
      <c r="W174">
        <v>1</v>
      </c>
      <c r="X174">
        <v>6</v>
      </c>
      <c r="Y174">
        <v>4</v>
      </c>
      <c r="Z174">
        <v>1</v>
      </c>
      <c r="AA174">
        <v>3</v>
      </c>
      <c r="AB174">
        <v>3</v>
      </c>
      <c r="AC174">
        <v>0</v>
      </c>
      <c r="AD174" s="69">
        <v>143850</v>
      </c>
      <c r="AE174" s="69">
        <v>18440</v>
      </c>
      <c r="AF174" s="69">
        <v>15478</v>
      </c>
      <c r="AG174" s="69">
        <v>2962</v>
      </c>
      <c r="AH174" s="69">
        <v>12.818908585331942</v>
      </c>
      <c r="AI174" s="69">
        <v>10.759819256169621</v>
      </c>
      <c r="AJ174" s="69">
        <v>2.0590893291623216</v>
      </c>
    </row>
    <row r="175" spans="1:36" x14ac:dyDescent="0.25">
      <c r="A175">
        <v>34173</v>
      </c>
      <c r="B175" s="85" t="str">
        <f>VLOOKUP(A175,ADM!$A$1:$R$343,14,0)</f>
        <v>CC Vallée de l'hérault</v>
      </c>
      <c r="C175" t="s">
        <v>702</v>
      </c>
      <c r="D175" s="8" t="s">
        <v>115</v>
      </c>
      <c r="E175" s="4">
        <v>0.11799999999999999</v>
      </c>
      <c r="I175" s="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 s="69">
        <v>820</v>
      </c>
      <c r="AE175" s="69">
        <v>69</v>
      </c>
      <c r="AF175" s="69">
        <v>41</v>
      </c>
      <c r="AG175" s="69">
        <v>28</v>
      </c>
      <c r="AH175" s="69">
        <v>8.4146341463414647</v>
      </c>
      <c r="AI175" s="69">
        <v>5</v>
      </c>
      <c r="AJ175" s="69">
        <v>3.4146341463414638</v>
      </c>
    </row>
    <row r="176" spans="1:36" x14ac:dyDescent="0.25">
      <c r="A176">
        <v>34174</v>
      </c>
      <c r="B176" s="85" t="str">
        <f>VLOOKUP(A176,ADM!$A$1:$R$343,14,0)</f>
        <v>CC des Cévennes Gangeoises et Suménoises</v>
      </c>
      <c r="C176" t="s">
        <v>704</v>
      </c>
      <c r="D176" s="8" t="s">
        <v>115</v>
      </c>
      <c r="E176" s="4" t="s">
        <v>1132</v>
      </c>
      <c r="I176" s="8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 s="69">
        <v>433</v>
      </c>
      <c r="AE176" s="69">
        <v>36</v>
      </c>
      <c r="AF176" s="69">
        <v>21</v>
      </c>
      <c r="AG176" s="69">
        <v>15</v>
      </c>
      <c r="AH176" s="69">
        <v>8.3140877598152425</v>
      </c>
      <c r="AI176" s="69">
        <v>4.8498845265588919</v>
      </c>
      <c r="AJ176" s="69">
        <v>3.4642032332563506</v>
      </c>
    </row>
    <row r="177" spans="1:36" x14ac:dyDescent="0.25">
      <c r="A177">
        <v>34175</v>
      </c>
      <c r="B177" s="85" t="str">
        <f>VLOOKUP(A177,ADM!$A$1:$R$343,14,0)</f>
        <v>CC du Clermontais</v>
      </c>
      <c r="C177" t="s">
        <v>706</v>
      </c>
      <c r="D177" s="8" t="s">
        <v>115</v>
      </c>
      <c r="E177" s="4">
        <v>0.189</v>
      </c>
      <c r="I177" s="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 s="69" t="s">
        <v>1132</v>
      </c>
      <c r="AE177" s="69" t="s">
        <v>1132</v>
      </c>
      <c r="AF177" s="69" t="s">
        <v>1132</v>
      </c>
      <c r="AG177" s="69" t="s">
        <v>1132</v>
      </c>
      <c r="AH177" s="69" t="s">
        <v>1132</v>
      </c>
      <c r="AI177" s="69" t="s">
        <v>1132</v>
      </c>
      <c r="AJ177" s="69" t="s">
        <v>1132</v>
      </c>
    </row>
    <row r="178" spans="1:36" x14ac:dyDescent="0.25">
      <c r="A178">
        <v>34176</v>
      </c>
      <c r="B178" s="85" t="str">
        <f>VLOOKUP(A178,ADM!$A$1:$R$343,14,0)</f>
        <v>CA du Pays de l'Or</v>
      </c>
      <c r="C178" t="s">
        <v>708</v>
      </c>
      <c r="D178" s="8" t="s">
        <v>243</v>
      </c>
      <c r="E178" s="4">
        <v>0.02</v>
      </c>
      <c r="I178" s="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 s="69" t="s">
        <v>1132</v>
      </c>
      <c r="AE178" s="69" t="s">
        <v>1132</v>
      </c>
      <c r="AF178" s="69" t="s">
        <v>1132</v>
      </c>
      <c r="AG178" s="69" t="s">
        <v>1132</v>
      </c>
      <c r="AH178" s="69" t="s">
        <v>1132</v>
      </c>
      <c r="AI178" s="69" t="s">
        <v>1132</v>
      </c>
      <c r="AJ178" s="69" t="s">
        <v>1132</v>
      </c>
    </row>
    <row r="179" spans="1:36" x14ac:dyDescent="0.25">
      <c r="A179">
        <v>34177</v>
      </c>
      <c r="B179" s="85" t="str">
        <f>VLOOKUP(A179,ADM!$A$1:$R$343,14,0)</f>
        <v>CC du Grand Pic Saint-Loup</v>
      </c>
      <c r="C179" t="s">
        <v>712</v>
      </c>
      <c r="D179" s="8" t="s">
        <v>115</v>
      </c>
      <c r="E179" s="4" t="s">
        <v>1132</v>
      </c>
      <c r="I179" s="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 s="69" t="s">
        <v>1132</v>
      </c>
      <c r="AE179" s="69" t="s">
        <v>1132</v>
      </c>
      <c r="AF179" s="69" t="s">
        <v>1132</v>
      </c>
      <c r="AG179" s="69" t="s">
        <v>1132</v>
      </c>
      <c r="AH179" s="69" t="s">
        <v>1132</v>
      </c>
      <c r="AI179" s="69" t="s">
        <v>1132</v>
      </c>
      <c r="AJ179" s="69" t="s">
        <v>1132</v>
      </c>
    </row>
    <row r="180" spans="1:36" x14ac:dyDescent="0.25">
      <c r="A180">
        <v>34178</v>
      </c>
      <c r="B180" s="85" t="str">
        <f>VLOOKUP(A180,ADM!$A$1:$R$343,14,0)</f>
        <v>CC les Avant-Monts</v>
      </c>
      <c r="C180" t="s">
        <v>714</v>
      </c>
      <c r="D180" s="8" t="s">
        <v>115</v>
      </c>
      <c r="E180" s="4">
        <v>0.127</v>
      </c>
      <c r="I180" s="8">
        <v>0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 s="69">
        <v>1602</v>
      </c>
      <c r="AE180" s="69">
        <v>161</v>
      </c>
      <c r="AF180" s="69">
        <v>67</v>
      </c>
      <c r="AG180" s="69">
        <v>94</v>
      </c>
      <c r="AH180" s="69">
        <v>10.049937578027466</v>
      </c>
      <c r="AI180" s="69">
        <v>4.1822721598002497</v>
      </c>
      <c r="AJ180" s="69">
        <v>5.8676654182272161</v>
      </c>
    </row>
    <row r="181" spans="1:36" x14ac:dyDescent="0.25">
      <c r="A181">
        <v>34179</v>
      </c>
      <c r="B181" s="85" t="str">
        <f>VLOOKUP(A181,ADM!$A$1:$R$343,14,0)</f>
        <v>Montpellier Méditerranée Métropole</v>
      </c>
      <c r="C181" t="s">
        <v>718</v>
      </c>
      <c r="D181" s="8" t="s">
        <v>115</v>
      </c>
      <c r="E181" s="4">
        <v>2.1000000000000001E-2</v>
      </c>
      <c r="I181" s="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 s="69" t="s">
        <v>1132</v>
      </c>
      <c r="AE181" s="69" t="s">
        <v>1132</v>
      </c>
      <c r="AF181" s="69" t="s">
        <v>1132</v>
      </c>
      <c r="AG181" s="69" t="s">
        <v>1132</v>
      </c>
      <c r="AH181" s="69" t="s">
        <v>1132</v>
      </c>
      <c r="AI181" s="69" t="s">
        <v>1132</v>
      </c>
      <c r="AJ181" s="69" t="s">
        <v>1132</v>
      </c>
    </row>
    <row r="182" spans="1:36" x14ac:dyDescent="0.25">
      <c r="A182">
        <v>34180</v>
      </c>
      <c r="B182" s="85" t="str">
        <f>VLOOKUP(A182,ADM!$A$1:$R$343,14,0)</f>
        <v>CC du Clermontais</v>
      </c>
      <c r="C182" t="s">
        <v>721</v>
      </c>
      <c r="D182" s="8" t="s">
        <v>115</v>
      </c>
      <c r="E182" s="4">
        <v>0.13400000000000001</v>
      </c>
      <c r="I182" s="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 s="69">
        <v>796</v>
      </c>
      <c r="AE182" s="69">
        <v>66</v>
      </c>
      <c r="AF182" s="69">
        <v>29</v>
      </c>
      <c r="AG182" s="69">
        <v>37</v>
      </c>
      <c r="AH182" s="69">
        <v>8.291457286432161</v>
      </c>
      <c r="AI182" s="69">
        <v>3.6432160804020097</v>
      </c>
      <c r="AJ182" s="69">
        <v>4.6482412060301508</v>
      </c>
    </row>
    <row r="183" spans="1:36" x14ac:dyDescent="0.25">
      <c r="A183">
        <v>34181</v>
      </c>
      <c r="B183" s="85" t="str">
        <f>VLOOKUP(A183,ADM!$A$1:$R$343,14,0)</f>
        <v>CC les Avant-Monts</v>
      </c>
      <c r="C183" t="s">
        <v>724</v>
      </c>
      <c r="D183" s="8" t="s">
        <v>115</v>
      </c>
      <c r="E183" s="4">
        <v>0.128</v>
      </c>
      <c r="I183" s="8">
        <v>0</v>
      </c>
      <c r="J183">
        <v>0</v>
      </c>
      <c r="K183">
        <v>0</v>
      </c>
      <c r="L183">
        <v>0</v>
      </c>
      <c r="M183">
        <v>1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 s="69">
        <v>700</v>
      </c>
      <c r="AE183" s="69">
        <v>59</v>
      </c>
      <c r="AF183" s="69">
        <v>30</v>
      </c>
      <c r="AG183" s="69">
        <v>29</v>
      </c>
      <c r="AH183" s="69">
        <v>8.4285714285714288</v>
      </c>
      <c r="AI183" s="69">
        <v>4.2857142857142856</v>
      </c>
      <c r="AJ183" s="69">
        <v>4.1428571428571423</v>
      </c>
    </row>
    <row r="184" spans="1:36" x14ac:dyDescent="0.25">
      <c r="A184">
        <v>34182</v>
      </c>
      <c r="B184" s="85" t="str">
        <f>VLOOKUP(A184,ADM!$A$1:$R$343,14,0)</f>
        <v>CA Hérault-Méditerranée</v>
      </c>
      <c r="C184" t="s">
        <v>726</v>
      </c>
      <c r="D184" s="8" t="s">
        <v>115</v>
      </c>
      <c r="E184" s="4">
        <v>9.5000000000000001E-2</v>
      </c>
      <c r="I184" s="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 s="69">
        <v>893</v>
      </c>
      <c r="AE184" s="69">
        <v>69</v>
      </c>
      <c r="AF184" s="69">
        <v>30</v>
      </c>
      <c r="AG184" s="69">
        <v>39</v>
      </c>
      <c r="AH184" s="69">
        <v>7.7267637178051523</v>
      </c>
      <c r="AI184" s="69">
        <v>3.3594624860022395</v>
      </c>
      <c r="AJ184" s="69">
        <v>4.3673012318029114</v>
      </c>
    </row>
    <row r="185" spans="1:36" x14ac:dyDescent="0.25">
      <c r="A185">
        <v>34183</v>
      </c>
      <c r="B185" s="85" t="str">
        <f>VLOOKUP(A185,ADM!$A$1:$R$343,14,0)</f>
        <v>CC la Domitienne</v>
      </c>
      <c r="C185" t="s">
        <v>730</v>
      </c>
      <c r="D185" s="8" t="s">
        <v>115</v>
      </c>
      <c r="E185" s="4">
        <v>0.10199999999999999</v>
      </c>
      <c r="I185" s="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 s="69">
        <v>2138</v>
      </c>
      <c r="AE185" s="69">
        <v>228</v>
      </c>
      <c r="AF185" s="69">
        <v>127</v>
      </c>
      <c r="AG185" s="69">
        <v>101</v>
      </c>
      <c r="AH185" s="69">
        <v>10.664172123479888</v>
      </c>
      <c r="AI185" s="69">
        <v>5.9401309635173059</v>
      </c>
      <c r="AJ185" s="69">
        <v>4.7240411599625816</v>
      </c>
    </row>
    <row r="186" spans="1:36" x14ac:dyDescent="0.25">
      <c r="A186">
        <v>34184</v>
      </c>
      <c r="B186" s="85" t="str">
        <f>VLOOKUP(A186,ADM!$A$1:$R$343,14,0)</f>
        <v>CA Hérault-Méditerranée</v>
      </c>
      <c r="C186" t="s">
        <v>733</v>
      </c>
      <c r="D186" s="8" t="s">
        <v>115</v>
      </c>
      <c r="E186" s="4">
        <v>0.123</v>
      </c>
      <c r="I186" s="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 s="69">
        <v>431</v>
      </c>
      <c r="AE186" s="69">
        <v>36</v>
      </c>
      <c r="AF186" s="69">
        <v>20</v>
      </c>
      <c r="AG186" s="69">
        <v>16</v>
      </c>
      <c r="AH186" s="69">
        <v>8.3526682134570756</v>
      </c>
      <c r="AI186" s="69">
        <v>4.6403712296983759</v>
      </c>
      <c r="AJ186" s="69">
        <v>3.7122969837587005</v>
      </c>
    </row>
    <row r="187" spans="1:36" x14ac:dyDescent="0.25">
      <c r="A187">
        <v>34185</v>
      </c>
      <c r="B187" s="85" t="str">
        <f>VLOOKUP(A187,ADM!$A$1:$R$343,14,0)</f>
        <v>CC du Grand Pic Saint-Loup</v>
      </c>
      <c r="C187" t="s">
        <v>736</v>
      </c>
      <c r="D187" s="8" t="s">
        <v>115</v>
      </c>
      <c r="E187" s="4" t="s">
        <v>1132</v>
      </c>
      <c r="I187" s="8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 s="69">
        <v>297</v>
      </c>
      <c r="AE187" s="69">
        <v>33</v>
      </c>
      <c r="AF187" s="69">
        <v>13</v>
      </c>
      <c r="AG187" s="69">
        <v>20</v>
      </c>
      <c r="AH187" s="69">
        <v>11.111111111111111</v>
      </c>
      <c r="AI187" s="69">
        <v>4.3771043771043772</v>
      </c>
      <c r="AJ187" s="69">
        <v>6.7340067340067336</v>
      </c>
    </row>
    <row r="188" spans="1:36" x14ac:dyDescent="0.25">
      <c r="A188">
        <v>34186</v>
      </c>
      <c r="B188" s="85" t="str">
        <f>VLOOKUP(A188,ADM!$A$1:$R$343,14,0)</f>
        <v>CC du Clermontais</v>
      </c>
      <c r="C188" t="s">
        <v>738</v>
      </c>
      <c r="D188" s="8" t="s">
        <v>115</v>
      </c>
      <c r="E188" s="4">
        <v>0.17299999999999999</v>
      </c>
      <c r="I188" s="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 s="69">
        <v>334</v>
      </c>
      <c r="AE188" s="69">
        <v>30</v>
      </c>
      <c r="AF188" s="69">
        <v>14</v>
      </c>
      <c r="AG188" s="69">
        <v>16</v>
      </c>
      <c r="AH188" s="69">
        <v>8.9820359281437128</v>
      </c>
      <c r="AI188" s="69">
        <v>4.1916167664670656</v>
      </c>
      <c r="AJ188" s="69">
        <v>4.7904191616766472</v>
      </c>
    </row>
    <row r="189" spans="1:36" x14ac:dyDescent="0.25">
      <c r="A189">
        <v>34187</v>
      </c>
      <c r="B189" s="85" t="str">
        <f>VLOOKUP(A189,ADM!$A$1:$R$343,14,0)</f>
        <v>CC Du Minervois au Caroux en Haut-Languedoc</v>
      </c>
      <c r="C189" t="s">
        <v>739</v>
      </c>
      <c r="D189" s="8" t="s">
        <v>115</v>
      </c>
      <c r="E189" s="4">
        <v>0.217</v>
      </c>
      <c r="I189" s="8">
        <v>0</v>
      </c>
      <c r="J189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 s="69">
        <v>519</v>
      </c>
      <c r="AE189" s="69">
        <v>100</v>
      </c>
      <c r="AF189" s="69">
        <v>36</v>
      </c>
      <c r="AG189" s="69">
        <v>64</v>
      </c>
      <c r="AH189" s="69">
        <v>19.26782273603083</v>
      </c>
      <c r="AI189" s="69">
        <v>6.9364161849710975</v>
      </c>
      <c r="AJ189" s="69">
        <v>12.331406551059731</v>
      </c>
    </row>
    <row r="190" spans="1:36" x14ac:dyDescent="0.25">
      <c r="A190">
        <v>34188</v>
      </c>
      <c r="B190" s="85" t="str">
        <f>VLOOKUP(A190,ADM!$A$1:$R$343,14,0)</f>
        <v>CC Lodévois et Larzac</v>
      </c>
      <c r="C190" t="s">
        <v>741</v>
      </c>
      <c r="D190" s="8" t="s">
        <v>115</v>
      </c>
      <c r="E190" s="4" t="s">
        <v>1132</v>
      </c>
      <c r="I190" s="8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 s="69" t="s">
        <v>1132</v>
      </c>
      <c r="AE190" s="69" t="s">
        <v>1132</v>
      </c>
      <c r="AF190" s="69" t="s">
        <v>1132</v>
      </c>
      <c r="AG190" s="69" t="s">
        <v>1132</v>
      </c>
      <c r="AH190" s="69" t="s">
        <v>1132</v>
      </c>
      <c r="AI190" s="69" t="s">
        <v>1132</v>
      </c>
      <c r="AJ190" s="69" t="s">
        <v>1132</v>
      </c>
    </row>
    <row r="191" spans="1:36" x14ac:dyDescent="0.25">
      <c r="A191">
        <v>34189</v>
      </c>
      <c r="B191" s="85" t="str">
        <f>VLOOKUP(A191,ADM!$A$1:$R$343,14,0)</f>
        <v>CC Du Minervois au Caroux en Haut-Languedoc</v>
      </c>
      <c r="C191" t="s">
        <v>743</v>
      </c>
      <c r="D191" s="8" t="s">
        <v>115</v>
      </c>
      <c r="E191" s="4">
        <v>0.14399999999999999</v>
      </c>
      <c r="I191" s="8">
        <v>0</v>
      </c>
      <c r="J191">
        <v>1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 s="69">
        <v>1160</v>
      </c>
      <c r="AE191" s="69">
        <v>194</v>
      </c>
      <c r="AF191" s="69">
        <v>76</v>
      </c>
      <c r="AG191" s="69">
        <v>118</v>
      </c>
      <c r="AH191" s="69">
        <v>16.724137931034484</v>
      </c>
      <c r="AI191" s="69">
        <v>6.5517241379310347</v>
      </c>
      <c r="AJ191" s="69">
        <v>10.172413793103448</v>
      </c>
    </row>
    <row r="192" spans="1:36" x14ac:dyDescent="0.25">
      <c r="A192">
        <v>34190</v>
      </c>
      <c r="B192" s="85" t="str">
        <f>VLOOKUP(A192,ADM!$A$1:$R$343,14,0)</f>
        <v>CC Du Minervois au Caroux en Haut-Languedoc</v>
      </c>
      <c r="C192" t="s">
        <v>745</v>
      </c>
      <c r="D192" s="8" t="s">
        <v>115</v>
      </c>
      <c r="E192" s="4">
        <v>0.17699999999999999</v>
      </c>
      <c r="I192" s="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 s="69" t="s">
        <v>1132</v>
      </c>
      <c r="AE192" s="69" t="s">
        <v>1132</v>
      </c>
      <c r="AF192" s="69" t="s">
        <v>1132</v>
      </c>
      <c r="AG192" s="69" t="s">
        <v>1132</v>
      </c>
      <c r="AH192" s="69" t="s">
        <v>1132</v>
      </c>
      <c r="AI192" s="69" t="s">
        <v>1132</v>
      </c>
      <c r="AJ192" s="69" t="s">
        <v>1132</v>
      </c>
    </row>
    <row r="193" spans="1:36" x14ac:dyDescent="0.25">
      <c r="A193">
        <v>34191</v>
      </c>
      <c r="B193" s="85" t="str">
        <f>VLOOKUP(A193,ADM!$A$1:$R$343,14,0)</f>
        <v>CC les Avant-Monts</v>
      </c>
      <c r="C193" t="s">
        <v>747</v>
      </c>
      <c r="D193" s="8" t="s">
        <v>115</v>
      </c>
      <c r="E193" s="4">
        <v>9.9000000000000005E-2</v>
      </c>
      <c r="I193" s="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 s="69" t="s">
        <v>1132</v>
      </c>
      <c r="AE193" s="69" t="s">
        <v>1132</v>
      </c>
      <c r="AF193" s="69" t="s">
        <v>1132</v>
      </c>
      <c r="AG193" s="69" t="s">
        <v>1132</v>
      </c>
      <c r="AH193" s="69" t="s">
        <v>1132</v>
      </c>
      <c r="AI193" s="69" t="s">
        <v>1132</v>
      </c>
      <c r="AJ193" s="69" t="s">
        <v>1132</v>
      </c>
    </row>
    <row r="194" spans="1:36" x14ac:dyDescent="0.25">
      <c r="A194">
        <v>34192</v>
      </c>
      <c r="B194" s="85" t="str">
        <f>VLOOKUP(A194,ADM!$A$1:$R$343,14,0)</f>
        <v>CA du Pays de l'Or</v>
      </c>
      <c r="C194" t="s">
        <v>749</v>
      </c>
      <c r="D194" s="8" t="s">
        <v>195</v>
      </c>
      <c r="E194" s="4">
        <v>4.2999999999999997E-2</v>
      </c>
      <c r="I194" s="8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 s="69">
        <v>8662</v>
      </c>
      <c r="AE194" s="69">
        <v>955</v>
      </c>
      <c r="AF194" s="69">
        <v>771</v>
      </c>
      <c r="AG194" s="69">
        <v>184</v>
      </c>
      <c r="AH194" s="69">
        <v>11.0251673978296</v>
      </c>
      <c r="AI194" s="69">
        <v>8.9009466635880852</v>
      </c>
      <c r="AJ194" s="69">
        <v>2.1242207342415149</v>
      </c>
    </row>
    <row r="195" spans="1:36" x14ac:dyDescent="0.25">
      <c r="A195">
        <v>34193</v>
      </c>
      <c r="B195" s="85" t="str">
        <f>VLOOKUP(A195,ADM!$A$1:$R$343,14,0)</f>
        <v>CC Du Minervois au Caroux en Haut-Languedoc</v>
      </c>
      <c r="C195" t="s">
        <v>753</v>
      </c>
      <c r="D195" s="8" t="s">
        <v>115</v>
      </c>
      <c r="E195" s="4">
        <v>0.23100000000000001</v>
      </c>
      <c r="I195" s="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 s="69">
        <v>229</v>
      </c>
      <c r="AE195" s="69">
        <v>34</v>
      </c>
      <c r="AF195" s="69">
        <v>16</v>
      </c>
      <c r="AG195" s="69">
        <v>18</v>
      </c>
      <c r="AH195" s="69">
        <v>14.847161572052403</v>
      </c>
      <c r="AI195" s="69">
        <v>6.9868995633187767</v>
      </c>
      <c r="AJ195" s="69">
        <v>7.860262008733625</v>
      </c>
    </row>
    <row r="196" spans="1:36" x14ac:dyDescent="0.25">
      <c r="A196">
        <v>34194</v>
      </c>
      <c r="B196" s="85" t="str">
        <f>VLOOKUP(A196,ADM!$A$1:$R$343,14,0)</f>
        <v>CC du Clermontais</v>
      </c>
      <c r="C196" t="s">
        <v>755</v>
      </c>
      <c r="D196" s="8" t="s">
        <v>115</v>
      </c>
      <c r="E196" s="4">
        <v>0.13500000000000001</v>
      </c>
      <c r="I196" s="8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 s="69">
        <v>1939</v>
      </c>
      <c r="AE196" s="69">
        <v>151</v>
      </c>
      <c r="AF196" s="69">
        <v>96</v>
      </c>
      <c r="AG196" s="69">
        <v>55</v>
      </c>
      <c r="AH196" s="69">
        <v>7.7875193398659102</v>
      </c>
      <c r="AI196" s="69">
        <v>4.9510056730273337</v>
      </c>
      <c r="AJ196" s="69">
        <v>2.8365136668385764</v>
      </c>
    </row>
    <row r="197" spans="1:36" x14ac:dyDescent="0.25">
      <c r="A197">
        <v>34195</v>
      </c>
      <c r="B197" s="85" t="str">
        <f>VLOOKUP(A197,ADM!$A$1:$R$343,14,0)</f>
        <v>CC du Grand Pic Saint-Loup</v>
      </c>
      <c r="C197" t="s">
        <v>757</v>
      </c>
      <c r="D197" s="8" t="s">
        <v>115</v>
      </c>
      <c r="E197" s="4" t="s">
        <v>1132</v>
      </c>
      <c r="I197" s="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 s="69" t="s">
        <v>1132</v>
      </c>
      <c r="AE197" s="69" t="s">
        <v>1132</v>
      </c>
      <c r="AF197" s="69" t="s">
        <v>1132</v>
      </c>
      <c r="AG197" s="69" t="s">
        <v>1132</v>
      </c>
      <c r="AH197" s="69" t="s">
        <v>1132</v>
      </c>
      <c r="AI197" s="69" t="s">
        <v>1132</v>
      </c>
      <c r="AJ197" s="69" t="s">
        <v>1132</v>
      </c>
    </row>
    <row r="198" spans="1:36" x14ac:dyDescent="0.25">
      <c r="A198">
        <v>34196</v>
      </c>
      <c r="B198" s="85" t="str">
        <f>VLOOKUP(A198,ADM!$A$1:$R$343,14,0)</f>
        <v>CC Lodévois et Larzac</v>
      </c>
      <c r="C198" t="s">
        <v>759</v>
      </c>
      <c r="D198" s="8" t="s">
        <v>115</v>
      </c>
      <c r="E198" s="4" t="s">
        <v>1132</v>
      </c>
      <c r="I198" s="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 s="69" t="s">
        <v>1132</v>
      </c>
      <c r="AE198" s="69" t="s">
        <v>1132</v>
      </c>
      <c r="AF198" s="69" t="s">
        <v>1132</v>
      </c>
      <c r="AG198" s="69" t="s">
        <v>1132</v>
      </c>
      <c r="AH198" s="69" t="s">
        <v>1132</v>
      </c>
      <c r="AI198" s="69" t="s">
        <v>1132</v>
      </c>
      <c r="AJ198" s="69" t="s">
        <v>1132</v>
      </c>
    </row>
    <row r="199" spans="1:36" x14ac:dyDescent="0.25">
      <c r="A199">
        <v>34197</v>
      </c>
      <c r="B199" s="85" t="str">
        <f>VLOOKUP(A199,ADM!$A$1:$R$343,14,0)</f>
        <v>CC du Clermontais</v>
      </c>
      <c r="C199" t="s">
        <v>761</v>
      </c>
      <c r="D199" s="8" t="s">
        <v>115</v>
      </c>
      <c r="E199" s="4">
        <v>0.13900000000000001</v>
      </c>
      <c r="I199" s="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 s="69">
        <v>616</v>
      </c>
      <c r="AE199" s="69">
        <v>44</v>
      </c>
      <c r="AF199" s="69">
        <v>24</v>
      </c>
      <c r="AG199" s="69">
        <v>20</v>
      </c>
      <c r="AH199" s="69">
        <v>7.1428571428571423</v>
      </c>
      <c r="AI199" s="69">
        <v>3.8961038961038961</v>
      </c>
      <c r="AJ199" s="69">
        <v>3.2467532467532463</v>
      </c>
    </row>
    <row r="200" spans="1:36" x14ac:dyDescent="0.25">
      <c r="A200">
        <v>34198</v>
      </c>
      <c r="B200" s="85" t="str">
        <f>VLOOKUP(A200,ADM!$A$1:$R$343,14,0)</f>
        <v>Montpellier Méditerranée Métropole</v>
      </c>
      <c r="C200" t="s">
        <v>764</v>
      </c>
      <c r="D200" s="8" t="s">
        <v>195</v>
      </c>
      <c r="E200" s="4">
        <v>2.8000000000000001E-2</v>
      </c>
      <c r="I200" s="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1</v>
      </c>
      <c r="AC200">
        <v>0</v>
      </c>
      <c r="AD200" s="69">
        <v>4834</v>
      </c>
      <c r="AE200" s="69">
        <v>383</v>
      </c>
      <c r="AF200" s="69">
        <v>356</v>
      </c>
      <c r="AG200" s="69">
        <v>27</v>
      </c>
      <c r="AH200" s="69">
        <v>7.923045097227968</v>
      </c>
      <c r="AI200" s="69">
        <v>7.3645014480761271</v>
      </c>
      <c r="AJ200" s="69">
        <v>0.55854364915184107</v>
      </c>
    </row>
    <row r="201" spans="1:36" x14ac:dyDescent="0.25">
      <c r="A201">
        <v>34199</v>
      </c>
      <c r="B201" s="85" t="str">
        <f>VLOOKUP(A201,ADM!$A$1:$R$343,14,0)</f>
        <v>CA Hérault-Méditerranée</v>
      </c>
      <c r="C201" t="s">
        <v>202</v>
      </c>
      <c r="D201" s="8" t="s">
        <v>115</v>
      </c>
      <c r="E201" s="4">
        <v>0.20100000000000001</v>
      </c>
      <c r="I201" s="8">
        <v>0</v>
      </c>
      <c r="J201">
        <v>4</v>
      </c>
      <c r="K201">
        <v>0</v>
      </c>
      <c r="L201">
        <v>0</v>
      </c>
      <c r="M201">
        <v>14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8</v>
      </c>
      <c r="T201">
        <v>0</v>
      </c>
      <c r="U201">
        <v>0</v>
      </c>
      <c r="V201">
        <v>2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2</v>
      </c>
      <c r="AC201">
        <v>0</v>
      </c>
      <c r="AD201" s="69">
        <v>4964</v>
      </c>
      <c r="AE201" s="69">
        <v>779</v>
      </c>
      <c r="AF201" s="69">
        <v>485</v>
      </c>
      <c r="AG201" s="69">
        <v>294</v>
      </c>
      <c r="AH201" s="69">
        <v>15.692989524576953</v>
      </c>
      <c r="AI201" s="69">
        <v>9.770346494762288</v>
      </c>
      <c r="AJ201" s="69">
        <v>5.9226430298146653</v>
      </c>
    </row>
    <row r="202" spans="1:36" x14ac:dyDescent="0.25">
      <c r="A202">
        <v>34200</v>
      </c>
      <c r="B202" s="85" t="str">
        <f>VLOOKUP(A202,ADM!$A$1:$R$343,14,0)</f>
        <v>CC Grand Orb en Languedoc</v>
      </c>
      <c r="C202" t="s">
        <v>773</v>
      </c>
      <c r="D202" s="8" t="s">
        <v>115</v>
      </c>
      <c r="E202" s="4" t="s">
        <v>1132</v>
      </c>
      <c r="I202" s="8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 s="69" t="s">
        <v>1132</v>
      </c>
      <c r="AE202" s="69" t="s">
        <v>1132</v>
      </c>
      <c r="AF202" s="69" t="s">
        <v>1132</v>
      </c>
      <c r="AG202" s="69" t="s">
        <v>1132</v>
      </c>
      <c r="AH202" s="69" t="s">
        <v>1132</v>
      </c>
      <c r="AI202" s="69" t="s">
        <v>1132</v>
      </c>
      <c r="AJ202" s="69" t="s">
        <v>1132</v>
      </c>
    </row>
    <row r="203" spans="1:36" x14ac:dyDescent="0.25">
      <c r="A203">
        <v>34201</v>
      </c>
      <c r="B203" s="85" t="str">
        <f>VLOOKUP(A203,ADM!$A$1:$R$343,14,0)</f>
        <v>CC Sud-Hérault</v>
      </c>
      <c r="C203" t="s">
        <v>775</v>
      </c>
      <c r="D203" s="8" t="s">
        <v>115</v>
      </c>
      <c r="E203" s="4">
        <v>0.127</v>
      </c>
      <c r="I203" s="8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 s="69">
        <v>246</v>
      </c>
      <c r="AE203" s="69">
        <v>36</v>
      </c>
      <c r="AF203" s="69">
        <v>16</v>
      </c>
      <c r="AG203" s="69">
        <v>20</v>
      </c>
      <c r="AH203" s="69">
        <v>14.634146341463413</v>
      </c>
      <c r="AI203" s="69">
        <v>6.5040650406504072</v>
      </c>
      <c r="AJ203" s="69">
        <v>8.1300813008130071</v>
      </c>
    </row>
    <row r="204" spans="1:36" x14ac:dyDescent="0.25">
      <c r="A204">
        <v>34202</v>
      </c>
      <c r="B204" s="85" t="str">
        <f>VLOOKUP(A204,ADM!$A$1:$R$343,14,0)</f>
        <v>Montpellier Méditerranée Métropole</v>
      </c>
      <c r="C204" t="s">
        <v>777</v>
      </c>
      <c r="D204" s="8" t="s">
        <v>135</v>
      </c>
      <c r="E204" s="4">
        <v>3.9E-2</v>
      </c>
      <c r="I204" s="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 s="69">
        <v>3207</v>
      </c>
      <c r="AE204" s="69">
        <v>175</v>
      </c>
      <c r="AF204" s="69">
        <v>137</v>
      </c>
      <c r="AG204" s="69">
        <v>38</v>
      </c>
      <c r="AH204" s="69">
        <v>5.4568132210788898</v>
      </c>
      <c r="AI204" s="69">
        <v>4.2719052073589028</v>
      </c>
      <c r="AJ204" s="69">
        <v>1.1849080137199874</v>
      </c>
    </row>
    <row r="205" spans="1:36" x14ac:dyDescent="0.25">
      <c r="A205">
        <v>34203</v>
      </c>
      <c r="B205" s="85" t="str">
        <f>VLOOKUP(A205,ADM!$A$1:$R$343,14,0)</f>
        <v>CA Hérault-Méditerranée</v>
      </c>
      <c r="C205" t="s">
        <v>781</v>
      </c>
      <c r="D205" s="8" t="s">
        <v>115</v>
      </c>
      <c r="E205" s="4">
        <v>0.123</v>
      </c>
      <c r="I205" s="8">
        <v>0</v>
      </c>
      <c r="J205">
        <v>0</v>
      </c>
      <c r="K205">
        <v>0</v>
      </c>
      <c r="L205">
        <v>0</v>
      </c>
      <c r="M205">
        <v>3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</v>
      </c>
      <c r="T205">
        <v>0</v>
      </c>
      <c r="U205">
        <v>0</v>
      </c>
      <c r="V205">
        <v>1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1</v>
      </c>
      <c r="AC205">
        <v>0</v>
      </c>
      <c r="AD205" s="69">
        <v>941</v>
      </c>
      <c r="AE205" s="69">
        <v>91</v>
      </c>
      <c r="AF205" s="69">
        <v>53</v>
      </c>
      <c r="AG205" s="69">
        <v>38</v>
      </c>
      <c r="AH205" s="69">
        <v>9.6705632306057385</v>
      </c>
      <c r="AI205" s="69">
        <v>5.63230605738576</v>
      </c>
      <c r="AJ205" s="69">
        <v>4.0382571732199786</v>
      </c>
    </row>
    <row r="206" spans="1:36" x14ac:dyDescent="0.25">
      <c r="A206">
        <v>34204</v>
      </c>
      <c r="B206" s="85" t="str">
        <f>VLOOKUP(A206,ADM!$A$1:$R$343,14,0)</f>
        <v>CC Vallée de l'hérault</v>
      </c>
      <c r="C206" t="s">
        <v>785</v>
      </c>
      <c r="D206" s="8" t="s">
        <v>115</v>
      </c>
      <c r="E206" s="4">
        <v>0.107</v>
      </c>
      <c r="I206" s="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 s="69">
        <v>701</v>
      </c>
      <c r="AE206" s="69">
        <v>49</v>
      </c>
      <c r="AF206" s="69">
        <v>22</v>
      </c>
      <c r="AG206" s="69">
        <v>27</v>
      </c>
      <c r="AH206" s="69">
        <v>6.990014265335236</v>
      </c>
      <c r="AI206" s="69">
        <v>3.1383737517831669</v>
      </c>
      <c r="AJ206" s="69">
        <v>3.8516405135520682</v>
      </c>
    </row>
    <row r="207" spans="1:36" x14ac:dyDescent="0.25">
      <c r="A207">
        <v>34205</v>
      </c>
      <c r="B207" s="85" t="str">
        <f>VLOOKUP(A207,ADM!$A$1:$R$343,14,0)</f>
        <v>CC Lodévois et Larzac</v>
      </c>
      <c r="C207" t="s">
        <v>788</v>
      </c>
      <c r="D207" s="8" t="s">
        <v>115</v>
      </c>
      <c r="E207" s="4">
        <v>0.24399999999999999</v>
      </c>
      <c r="I207" s="8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 s="69" t="s">
        <v>1132</v>
      </c>
      <c r="AE207" s="69" t="s">
        <v>1132</v>
      </c>
      <c r="AF207" s="69" t="s">
        <v>1132</v>
      </c>
      <c r="AG207" s="69" t="s">
        <v>1132</v>
      </c>
      <c r="AH207" s="69" t="s">
        <v>1132</v>
      </c>
      <c r="AI207" s="69" t="s">
        <v>1132</v>
      </c>
      <c r="AJ207" s="69" t="s">
        <v>1132</v>
      </c>
    </row>
    <row r="208" spans="1:36" x14ac:dyDescent="0.25">
      <c r="A208">
        <v>34206</v>
      </c>
      <c r="B208" s="85" t="str">
        <f>VLOOKUP(A208,ADM!$A$1:$R$343,14,0)</f>
        <v>CC Sud-Hérault</v>
      </c>
      <c r="C208" t="s">
        <v>790</v>
      </c>
      <c r="D208" s="8" t="s">
        <v>115</v>
      </c>
      <c r="E208" s="4">
        <v>0.111</v>
      </c>
      <c r="I208" s="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 s="69">
        <v>336</v>
      </c>
      <c r="AE208" s="69">
        <v>35</v>
      </c>
      <c r="AF208" s="69">
        <v>12</v>
      </c>
      <c r="AG208" s="69">
        <v>23</v>
      </c>
      <c r="AH208" s="69">
        <v>10.416666666666668</v>
      </c>
      <c r="AI208" s="69">
        <v>3.5714285714285712</v>
      </c>
      <c r="AJ208" s="69">
        <v>6.8452380952380958</v>
      </c>
    </row>
    <row r="209" spans="1:36" x14ac:dyDescent="0.25">
      <c r="A209">
        <v>34207</v>
      </c>
      <c r="B209" s="85" t="str">
        <f>VLOOKUP(A209,ADM!$A$1:$R$343,14,0)</f>
        <v>CA Hérault-Méditerranée</v>
      </c>
      <c r="C209" t="s">
        <v>792</v>
      </c>
      <c r="D209" s="8" t="s">
        <v>115</v>
      </c>
      <c r="E209" s="4">
        <v>0.14199999999999999</v>
      </c>
      <c r="I209" s="8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 s="69">
        <v>1451</v>
      </c>
      <c r="AE209" s="69">
        <v>101</v>
      </c>
      <c r="AF209" s="69">
        <v>57</v>
      </c>
      <c r="AG209" s="69">
        <v>44</v>
      </c>
      <c r="AH209" s="69">
        <v>6.9607167470709861</v>
      </c>
      <c r="AI209" s="69">
        <v>3.9283252929014476</v>
      </c>
      <c r="AJ209" s="69">
        <v>3.0323914541695385</v>
      </c>
    </row>
    <row r="210" spans="1:36" x14ac:dyDescent="0.25">
      <c r="A210">
        <v>34208</v>
      </c>
      <c r="B210" s="85" t="str">
        <f>VLOOKUP(A210,ADM!$A$1:$R$343,14,0)</f>
        <v>CC Vallée de l'hérault</v>
      </c>
      <c r="C210" t="s">
        <v>794</v>
      </c>
      <c r="D210" s="8" t="s">
        <v>115</v>
      </c>
      <c r="E210" s="4" t="s">
        <v>1132</v>
      </c>
      <c r="I210" s="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 s="69" t="s">
        <v>1132</v>
      </c>
      <c r="AE210" s="69" t="s">
        <v>1132</v>
      </c>
      <c r="AF210" s="69" t="s">
        <v>1132</v>
      </c>
      <c r="AG210" s="69" t="s">
        <v>1132</v>
      </c>
      <c r="AH210" s="69" t="s">
        <v>1132</v>
      </c>
      <c r="AI210" s="69" t="s">
        <v>1132</v>
      </c>
      <c r="AJ210" s="69" t="s">
        <v>1132</v>
      </c>
    </row>
    <row r="211" spans="1:36" x14ac:dyDescent="0.25">
      <c r="A211">
        <v>34209</v>
      </c>
      <c r="B211" s="85" t="str">
        <f>VLOOKUP(A211,ADM!$A$1:$R$343,14,0)</f>
        <v>CA Hérault-Méditerranée</v>
      </c>
      <c r="C211" t="s">
        <v>796</v>
      </c>
      <c r="D211" s="8" t="s">
        <v>135</v>
      </c>
      <c r="E211" s="4">
        <v>0.106</v>
      </c>
      <c r="I211" s="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 s="69">
        <v>4415</v>
      </c>
      <c r="AE211" s="69">
        <v>221</v>
      </c>
      <c r="AF211" s="69">
        <v>169</v>
      </c>
      <c r="AG211" s="69">
        <v>52</v>
      </c>
      <c r="AH211" s="69">
        <v>5.0056625141562856</v>
      </c>
      <c r="AI211" s="69">
        <v>3.8278595696489242</v>
      </c>
      <c r="AJ211" s="69">
        <v>1.1778029445073612</v>
      </c>
    </row>
    <row r="212" spans="1:36" x14ac:dyDescent="0.25">
      <c r="A212">
        <v>34210</v>
      </c>
      <c r="B212" s="85" t="str">
        <f>VLOOKUP(A212,ADM!$A$1:$R$343,14,0)</f>
        <v>CC Vallée de l'hérault</v>
      </c>
      <c r="C212" t="s">
        <v>798</v>
      </c>
      <c r="D212" s="8" t="s">
        <v>115</v>
      </c>
      <c r="E212" s="4">
        <v>0.128</v>
      </c>
      <c r="I212" s="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 s="69">
        <v>1049</v>
      </c>
      <c r="AE212" s="69">
        <v>77</v>
      </c>
      <c r="AF212" s="69">
        <v>53</v>
      </c>
      <c r="AG212" s="69">
        <v>24</v>
      </c>
      <c r="AH212" s="69">
        <v>7.3403241182078167</v>
      </c>
      <c r="AI212" s="69">
        <v>5.0524308865586276</v>
      </c>
      <c r="AJ212" s="69">
        <v>2.2878932316491896</v>
      </c>
    </row>
    <row r="213" spans="1:36" x14ac:dyDescent="0.25">
      <c r="A213">
        <v>34211</v>
      </c>
      <c r="B213" s="85" t="str">
        <f>VLOOKUP(A213,ADM!$A$1:$R$343,14,0)</f>
        <v>CC Grand Orb en Languedoc</v>
      </c>
      <c r="C213" t="s">
        <v>801</v>
      </c>
      <c r="D213" s="8" t="s">
        <v>115</v>
      </c>
      <c r="E213" s="4">
        <v>0.18099999999999999</v>
      </c>
      <c r="I213" s="8">
        <v>0</v>
      </c>
      <c r="J213">
        <v>0</v>
      </c>
      <c r="K213">
        <v>0</v>
      </c>
      <c r="L213">
        <v>0</v>
      </c>
      <c r="M213">
        <v>1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 s="69">
        <v>681</v>
      </c>
      <c r="AE213" s="69">
        <v>85</v>
      </c>
      <c r="AF213" s="69">
        <v>36</v>
      </c>
      <c r="AG213" s="69">
        <v>49</v>
      </c>
      <c r="AH213" s="69">
        <v>12.481644640234949</v>
      </c>
      <c r="AI213" s="69">
        <v>5.286343612334802</v>
      </c>
      <c r="AJ213" s="69">
        <v>7.1953010279001468</v>
      </c>
    </row>
    <row r="214" spans="1:36" x14ac:dyDescent="0.25">
      <c r="A214">
        <v>34212</v>
      </c>
      <c r="B214" s="85" t="str">
        <f>VLOOKUP(A214,ADM!$A$1:$R$343,14,0)</f>
        <v>CC Lodévois et Larzac</v>
      </c>
      <c r="C214" t="s">
        <v>803</v>
      </c>
      <c r="D214" s="8" t="s">
        <v>115</v>
      </c>
      <c r="E214" s="4" t="s">
        <v>1132</v>
      </c>
      <c r="I214" s="8">
        <v>0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 s="69" t="s">
        <v>1132</v>
      </c>
      <c r="AE214" s="69" t="s">
        <v>1132</v>
      </c>
      <c r="AF214" s="69" t="s">
        <v>1132</v>
      </c>
      <c r="AG214" s="69" t="s">
        <v>1132</v>
      </c>
      <c r="AH214" s="69" t="s">
        <v>1132</v>
      </c>
      <c r="AI214" s="69" t="s">
        <v>1132</v>
      </c>
      <c r="AJ214" s="69" t="s">
        <v>1132</v>
      </c>
    </row>
    <row r="215" spans="1:36" x14ac:dyDescent="0.25">
      <c r="A215">
        <v>34213</v>
      </c>
      <c r="B215" s="85" t="str">
        <f>VLOOKUP(A215,ADM!$A$1:$R$343,14,0)</f>
        <v>Sète Agglopôle Méditerranée</v>
      </c>
      <c r="C215" t="s">
        <v>805</v>
      </c>
      <c r="D215" s="8" t="s">
        <v>243</v>
      </c>
      <c r="E215" s="4">
        <v>9.8000000000000004E-2</v>
      </c>
      <c r="I215" s="8">
        <v>0</v>
      </c>
      <c r="J215">
        <v>0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</v>
      </c>
      <c r="W215">
        <v>0</v>
      </c>
      <c r="X215">
        <v>0</v>
      </c>
      <c r="Y215">
        <v>1</v>
      </c>
      <c r="Z215">
        <v>0</v>
      </c>
      <c r="AA215">
        <v>0</v>
      </c>
      <c r="AB215">
        <v>0</v>
      </c>
      <c r="AC215">
        <v>0</v>
      </c>
      <c r="AD215" s="69">
        <v>2864</v>
      </c>
      <c r="AE215" s="69">
        <v>229</v>
      </c>
      <c r="AF215" s="69">
        <v>178</v>
      </c>
      <c r="AG215" s="69">
        <v>51</v>
      </c>
      <c r="AH215" s="69">
        <v>7.9958100558659222</v>
      </c>
      <c r="AI215" s="69">
        <v>6.2150837988826808</v>
      </c>
      <c r="AJ215" s="69">
        <v>1.7807262569832401</v>
      </c>
    </row>
    <row r="216" spans="1:36" x14ac:dyDescent="0.25">
      <c r="A216">
        <v>34214</v>
      </c>
      <c r="B216" s="85" t="str">
        <f>VLOOKUP(A216,ADM!$A$1:$R$343,14,0)</f>
        <v>CC les Avant-Monts</v>
      </c>
      <c r="C216" t="s">
        <v>810</v>
      </c>
      <c r="D216" s="8" t="s">
        <v>115</v>
      </c>
      <c r="E216" s="4">
        <v>0.126</v>
      </c>
      <c r="I216" s="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 s="69">
        <v>696</v>
      </c>
      <c r="AE216" s="69">
        <v>87</v>
      </c>
      <c r="AF216" s="69">
        <v>44</v>
      </c>
      <c r="AG216" s="69">
        <v>43</v>
      </c>
      <c r="AH216" s="69">
        <v>12.5</v>
      </c>
      <c r="AI216" s="69">
        <v>6.3218390804597711</v>
      </c>
      <c r="AJ216" s="69">
        <v>6.1781609195402298</v>
      </c>
    </row>
    <row r="217" spans="1:36" x14ac:dyDescent="0.25">
      <c r="A217">
        <v>34215</v>
      </c>
      <c r="B217" s="85" t="str">
        <f>VLOOKUP(A217,ADM!$A$1:$R$343,14,0)</f>
        <v>CC Vallée de l'hérault</v>
      </c>
      <c r="C217" t="s">
        <v>812</v>
      </c>
      <c r="D217" s="8" t="s">
        <v>115</v>
      </c>
      <c r="E217" s="4">
        <v>9.0999999999999998E-2</v>
      </c>
      <c r="I217" s="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 s="69" t="s">
        <v>1132</v>
      </c>
      <c r="AE217" s="69" t="s">
        <v>1132</v>
      </c>
      <c r="AF217" s="69" t="s">
        <v>1132</v>
      </c>
      <c r="AG217" s="69" t="s">
        <v>1132</v>
      </c>
      <c r="AH217" s="69" t="s">
        <v>1132</v>
      </c>
      <c r="AI217" s="69" t="s">
        <v>1132</v>
      </c>
      <c r="AJ217" s="69" t="s">
        <v>1132</v>
      </c>
    </row>
    <row r="218" spans="1:36" x14ac:dyDescent="0.25">
      <c r="A218">
        <v>34216</v>
      </c>
      <c r="B218" s="85" t="str">
        <f>VLOOKUP(A218,ADM!$A$1:$R$343,14,0)</f>
        <v>CC Grand Orb en Languedoc</v>
      </c>
      <c r="C218" t="s">
        <v>814</v>
      </c>
      <c r="D218" s="8" t="s">
        <v>115</v>
      </c>
      <c r="E218" s="4" t="s">
        <v>1132</v>
      </c>
      <c r="I218" s="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 s="69" t="s">
        <v>1132</v>
      </c>
      <c r="AE218" s="69" t="s">
        <v>1132</v>
      </c>
      <c r="AF218" s="69" t="s">
        <v>1132</v>
      </c>
      <c r="AG218" s="69" t="s">
        <v>1132</v>
      </c>
      <c r="AH218" s="69" t="s">
        <v>1132</v>
      </c>
      <c r="AI218" s="69" t="s">
        <v>1132</v>
      </c>
      <c r="AJ218" s="69" t="s">
        <v>1132</v>
      </c>
    </row>
    <row r="219" spans="1:36" x14ac:dyDescent="0.25">
      <c r="A219">
        <v>34217</v>
      </c>
      <c r="B219" s="85" t="str">
        <f>VLOOKUP(A219,ADM!$A$1:$R$343,14,0)</f>
        <v>Montpellier Méditerranée Métropole</v>
      </c>
      <c r="C219" t="s">
        <v>816</v>
      </c>
      <c r="D219" s="8" t="s">
        <v>195</v>
      </c>
      <c r="E219" s="4">
        <v>2.7E-2</v>
      </c>
      <c r="I219" s="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 s="69">
        <v>2621</v>
      </c>
      <c r="AE219" s="69">
        <v>171</v>
      </c>
      <c r="AF219" s="69">
        <v>149</v>
      </c>
      <c r="AG219" s="69">
        <v>22</v>
      </c>
      <c r="AH219" s="69">
        <v>6.5242273941243791</v>
      </c>
      <c r="AI219" s="69">
        <v>5.6848531095001906</v>
      </c>
      <c r="AJ219" s="69">
        <v>0.83937428462418917</v>
      </c>
    </row>
    <row r="220" spans="1:36" x14ac:dyDescent="0.25">
      <c r="A220">
        <v>34218</v>
      </c>
      <c r="B220" s="85" t="str">
        <f>VLOOKUP(A220,ADM!$A$1:$R$343,14,0)</f>
        <v>CC Sud-Hérault</v>
      </c>
      <c r="C220" t="s">
        <v>820</v>
      </c>
      <c r="D220" s="8" t="s">
        <v>115</v>
      </c>
      <c r="E220" s="4" t="s">
        <v>1132</v>
      </c>
      <c r="I220" s="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 s="69" t="s">
        <v>1132</v>
      </c>
      <c r="AE220" s="69" t="s">
        <v>1132</v>
      </c>
      <c r="AF220" s="69" t="s">
        <v>1132</v>
      </c>
      <c r="AG220" s="69" t="s">
        <v>1132</v>
      </c>
      <c r="AH220" s="69" t="s">
        <v>1132</v>
      </c>
      <c r="AI220" s="69" t="s">
        <v>1132</v>
      </c>
      <c r="AJ220" s="69" t="s">
        <v>1132</v>
      </c>
    </row>
    <row r="221" spans="1:36" x14ac:dyDescent="0.25">
      <c r="A221">
        <v>34219</v>
      </c>
      <c r="B221" s="85" t="str">
        <f>VLOOKUP(A221,ADM!$A$1:$R$343,14,0)</f>
        <v>CC Du Minervois au Caroux en Haut-Languedoc</v>
      </c>
      <c r="C221" t="s">
        <v>822</v>
      </c>
      <c r="D221" s="8" t="s">
        <v>115</v>
      </c>
      <c r="E221" s="4">
        <v>0.112</v>
      </c>
      <c r="I221" s="8">
        <v>0</v>
      </c>
      <c r="J221">
        <v>1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 s="69">
        <v>424</v>
      </c>
      <c r="AE221" s="69">
        <v>49</v>
      </c>
      <c r="AF221" s="69">
        <v>17</v>
      </c>
      <c r="AG221" s="69">
        <v>32</v>
      </c>
      <c r="AH221" s="69">
        <v>11.556603773584905</v>
      </c>
      <c r="AI221" s="69">
        <v>4.0094339622641506</v>
      </c>
      <c r="AJ221" s="69">
        <v>7.5471698113207548</v>
      </c>
    </row>
    <row r="222" spans="1:36" x14ac:dyDescent="0.25">
      <c r="A222">
        <v>34220</v>
      </c>
      <c r="B222" s="85" t="str">
        <f>VLOOKUP(A222,ADM!$A$1:$R$343,14,0)</f>
        <v>CC Lodévois et Larzac</v>
      </c>
      <c r="C222" t="s">
        <v>824</v>
      </c>
      <c r="D222" s="8" t="s">
        <v>115</v>
      </c>
      <c r="E222" s="4" t="s">
        <v>1132</v>
      </c>
      <c r="I222" s="8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 s="69" t="s">
        <v>1132</v>
      </c>
      <c r="AE222" s="69" t="s">
        <v>1132</v>
      </c>
      <c r="AF222" s="69" t="s">
        <v>1132</v>
      </c>
      <c r="AG222" s="69" t="s">
        <v>1132</v>
      </c>
      <c r="AH222" s="69" t="s">
        <v>1132</v>
      </c>
      <c r="AI222" s="69" t="s">
        <v>1132</v>
      </c>
      <c r="AJ222" s="69" t="s">
        <v>1132</v>
      </c>
    </row>
    <row r="223" spans="1:36" x14ac:dyDescent="0.25">
      <c r="A223">
        <v>34221</v>
      </c>
      <c r="B223" s="85" t="str">
        <f>VLOOKUP(A223,ADM!$A$1:$R$343,14,0)</f>
        <v>CC Vallée de l'hérault</v>
      </c>
      <c r="C223" t="s">
        <v>826</v>
      </c>
      <c r="D223" s="8" t="s">
        <v>115</v>
      </c>
      <c r="E223" s="4">
        <v>0.183</v>
      </c>
      <c r="I223" s="8">
        <v>0</v>
      </c>
      <c r="J223">
        <v>0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 s="69">
        <v>322</v>
      </c>
      <c r="AE223" s="69">
        <v>44</v>
      </c>
      <c r="AF223" s="69">
        <v>29</v>
      </c>
      <c r="AG223" s="69">
        <v>15</v>
      </c>
      <c r="AH223" s="69">
        <v>13.664596273291925</v>
      </c>
      <c r="AI223" s="69">
        <v>9.0062111801242235</v>
      </c>
      <c r="AJ223" s="69">
        <v>4.658385093167702</v>
      </c>
    </row>
    <row r="224" spans="1:36" x14ac:dyDescent="0.25">
      <c r="A224">
        <v>34222</v>
      </c>
      <c r="B224" s="85" t="str">
        <f>VLOOKUP(A224,ADM!$A$1:$R$343,14,0)</f>
        <v>CC Vallée de l'hérault</v>
      </c>
      <c r="C224" t="s">
        <v>828</v>
      </c>
      <c r="D224" s="8" t="s">
        <v>115</v>
      </c>
      <c r="E224" s="4" t="s">
        <v>1132</v>
      </c>
      <c r="I224" s="8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 s="69" t="s">
        <v>1132</v>
      </c>
      <c r="AE224" s="69" t="s">
        <v>1132</v>
      </c>
      <c r="AF224" s="69" t="s">
        <v>1132</v>
      </c>
      <c r="AG224" s="69" t="s">
        <v>1132</v>
      </c>
      <c r="AH224" s="69" t="s">
        <v>1132</v>
      </c>
      <c r="AI224" s="69" t="s">
        <v>1132</v>
      </c>
      <c r="AJ224" s="69" t="s">
        <v>1132</v>
      </c>
    </row>
    <row r="225" spans="1:36" x14ac:dyDescent="0.25">
      <c r="A225">
        <v>34223</v>
      </c>
      <c r="B225" s="85" t="str">
        <f>VLOOKUP(A225,ADM!$A$1:$R$343,14,0)</f>
        <v>CC les Avant-Monts</v>
      </c>
      <c r="C225" t="s">
        <v>830</v>
      </c>
      <c r="D225" s="8" t="s">
        <v>115</v>
      </c>
      <c r="E225" s="4">
        <v>0.128</v>
      </c>
      <c r="I225" s="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 s="69">
        <v>643</v>
      </c>
      <c r="AE225" s="69">
        <v>46</v>
      </c>
      <c r="AF225" s="69">
        <v>35</v>
      </c>
      <c r="AG225" s="69">
        <v>11</v>
      </c>
      <c r="AH225" s="69">
        <v>7.1539657853810263</v>
      </c>
      <c r="AI225" s="69">
        <v>5.4432348367029553</v>
      </c>
      <c r="AJ225" s="69">
        <v>1.7107309486780715</v>
      </c>
    </row>
    <row r="226" spans="1:36" x14ac:dyDescent="0.25">
      <c r="A226">
        <v>34224</v>
      </c>
      <c r="B226" s="85" t="str">
        <f>VLOOKUP(A226,ADM!$A$1:$R$343,14,0)</f>
        <v>CC les Avant-Monts</v>
      </c>
      <c r="C226" t="s">
        <v>832</v>
      </c>
      <c r="D226" s="8" t="s">
        <v>115</v>
      </c>
      <c r="E226" s="4">
        <v>8.4000000000000005E-2</v>
      </c>
      <c r="I226" s="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 s="69">
        <v>802</v>
      </c>
      <c r="AE226" s="69">
        <v>93</v>
      </c>
      <c r="AF226" s="69">
        <v>40</v>
      </c>
      <c r="AG226" s="69">
        <v>53</v>
      </c>
      <c r="AH226" s="69">
        <v>11.596009975062344</v>
      </c>
      <c r="AI226" s="69">
        <v>4.9875311720698257</v>
      </c>
      <c r="AJ226" s="69">
        <v>6.6084788029925194</v>
      </c>
    </row>
    <row r="227" spans="1:36" x14ac:dyDescent="0.25">
      <c r="A227">
        <v>34225</v>
      </c>
      <c r="B227" s="85" t="str">
        <f>VLOOKUP(A227,ADM!$A$1:$R$343,14,0)</f>
        <v>CC Sud-Hérault</v>
      </c>
      <c r="C227" t="s">
        <v>834</v>
      </c>
      <c r="D227" s="8" t="s">
        <v>115</v>
      </c>
      <c r="E227" s="4">
        <v>0.13200000000000001</v>
      </c>
      <c r="I227" s="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 s="69">
        <v>1809</v>
      </c>
      <c r="AE227" s="69">
        <v>215</v>
      </c>
      <c r="AF227" s="69">
        <v>88</v>
      </c>
      <c r="AG227" s="69">
        <v>127</v>
      </c>
      <c r="AH227" s="69">
        <v>11.885019347705915</v>
      </c>
      <c r="AI227" s="69">
        <v>4.8645660585959094</v>
      </c>
      <c r="AJ227" s="69">
        <v>7.0204532891100051</v>
      </c>
    </row>
    <row r="228" spans="1:36" x14ac:dyDescent="0.25">
      <c r="A228">
        <v>34226</v>
      </c>
      <c r="B228" s="85" t="str">
        <f>VLOOKUP(A228,ADM!$A$1:$R$343,14,0)</f>
        <v>CC Sud-Hérault</v>
      </c>
      <c r="C228" t="s">
        <v>836</v>
      </c>
      <c r="D228" s="8" t="s">
        <v>115</v>
      </c>
      <c r="E228" s="4">
        <v>0.189</v>
      </c>
      <c r="I228" s="8">
        <v>0</v>
      </c>
      <c r="J228">
        <v>0</v>
      </c>
      <c r="K228">
        <v>0</v>
      </c>
      <c r="L228">
        <v>0</v>
      </c>
      <c r="M228">
        <v>1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 s="69">
        <v>1107</v>
      </c>
      <c r="AE228" s="69">
        <v>144</v>
      </c>
      <c r="AF228" s="69">
        <v>58</v>
      </c>
      <c r="AG228" s="69">
        <v>86</v>
      </c>
      <c r="AH228" s="69">
        <v>13.008130081300814</v>
      </c>
      <c r="AI228" s="69">
        <v>5.2393857271906059</v>
      </c>
      <c r="AJ228" s="69">
        <v>7.7687443541102077</v>
      </c>
    </row>
    <row r="229" spans="1:36" x14ac:dyDescent="0.25">
      <c r="A229">
        <v>34227</v>
      </c>
      <c r="B229" s="85" t="str">
        <f>VLOOKUP(A229,ADM!$A$1:$R$343,14,0)</f>
        <v>Montpellier Méditerranée Métropole</v>
      </c>
      <c r="C229" t="s">
        <v>839</v>
      </c>
      <c r="D229" s="8" t="s">
        <v>115</v>
      </c>
      <c r="E229" s="4" t="s">
        <v>1132</v>
      </c>
      <c r="I229" s="8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 s="69" t="s">
        <v>1132</v>
      </c>
      <c r="AE229" s="69" t="s">
        <v>1132</v>
      </c>
      <c r="AF229" s="69" t="s">
        <v>1132</v>
      </c>
      <c r="AG229" s="69" t="s">
        <v>1132</v>
      </c>
      <c r="AH229" s="69" t="s">
        <v>1132</v>
      </c>
      <c r="AI229" s="69" t="s">
        <v>1132</v>
      </c>
      <c r="AJ229" s="69" t="s">
        <v>1132</v>
      </c>
    </row>
    <row r="230" spans="1:36" x14ac:dyDescent="0.25">
      <c r="A230">
        <v>34228</v>
      </c>
      <c r="B230" s="85" t="str">
        <f>VLOOKUP(A230,ADM!$A$1:$R$343,14,0)</f>
        <v>CC Du Minervois au Caroux en Haut-Languedoc</v>
      </c>
      <c r="C230" t="s">
        <v>842</v>
      </c>
      <c r="D230" s="8" t="s">
        <v>115</v>
      </c>
      <c r="E230" s="4" t="s">
        <v>1132</v>
      </c>
      <c r="I230" s="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 s="69" t="s">
        <v>1132</v>
      </c>
      <c r="AE230" s="69" t="s">
        <v>1132</v>
      </c>
      <c r="AF230" s="69" t="s">
        <v>1132</v>
      </c>
      <c r="AG230" s="69" t="s">
        <v>1132</v>
      </c>
      <c r="AH230" s="69" t="s">
        <v>1132</v>
      </c>
      <c r="AI230" s="69" t="s">
        <v>1132</v>
      </c>
      <c r="AJ230" s="69" t="s">
        <v>1132</v>
      </c>
    </row>
    <row r="231" spans="1:36" x14ac:dyDescent="0.25">
      <c r="A231">
        <v>34229</v>
      </c>
      <c r="B231" s="85" t="str">
        <f>VLOOKUP(A231,ADM!$A$1:$R$343,14,0)</f>
        <v>CC Du Minervois au Caroux en Haut-Languedoc</v>
      </c>
      <c r="C231" t="s">
        <v>844</v>
      </c>
      <c r="D231" s="8" t="s">
        <v>115</v>
      </c>
      <c r="E231" s="4">
        <v>0.109</v>
      </c>
      <c r="I231" s="8">
        <v>0</v>
      </c>
      <c r="J231">
        <v>1</v>
      </c>
      <c r="K231">
        <v>0</v>
      </c>
      <c r="L231">
        <v>0</v>
      </c>
      <c r="M231">
        <v>1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 s="69">
        <v>685</v>
      </c>
      <c r="AE231" s="69">
        <v>97</v>
      </c>
      <c r="AF231" s="69">
        <v>38</v>
      </c>
      <c r="AG231" s="69">
        <v>59</v>
      </c>
      <c r="AH231" s="69">
        <v>14.160583941605839</v>
      </c>
      <c r="AI231" s="69">
        <v>5.5474452554744529</v>
      </c>
      <c r="AJ231" s="69">
        <v>8.6131386861313874</v>
      </c>
    </row>
    <row r="232" spans="1:36" x14ac:dyDescent="0.25">
      <c r="A232">
        <v>34230</v>
      </c>
      <c r="B232" s="85" t="str">
        <f>VLOOKUP(A232,ADM!$A$1:$R$343,14,0)</f>
        <v>CC Lodévois et Larzac</v>
      </c>
      <c r="C232" t="s">
        <v>846</v>
      </c>
      <c r="D232" s="8" t="s">
        <v>115</v>
      </c>
      <c r="E232" s="4" t="s">
        <v>1132</v>
      </c>
      <c r="I232" s="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 s="69" t="s">
        <v>1132</v>
      </c>
      <c r="AE232" s="69" t="s">
        <v>1132</v>
      </c>
      <c r="AF232" s="69" t="s">
        <v>1132</v>
      </c>
      <c r="AG232" s="69" t="s">
        <v>1132</v>
      </c>
      <c r="AH232" s="69" t="s">
        <v>1132</v>
      </c>
      <c r="AI232" s="69" t="s">
        <v>1132</v>
      </c>
      <c r="AJ232" s="69" t="s">
        <v>1132</v>
      </c>
    </row>
    <row r="233" spans="1:36" x14ac:dyDescent="0.25">
      <c r="A233">
        <v>34231</v>
      </c>
      <c r="B233" s="85" t="str">
        <f>VLOOKUP(A233,ADM!$A$1:$R$343,14,0)</f>
        <v>CC Lodévois et Larzac</v>
      </c>
      <c r="C233" t="s">
        <v>848</v>
      </c>
      <c r="D233" s="8" t="s">
        <v>115</v>
      </c>
      <c r="E233" s="4" t="s">
        <v>1132</v>
      </c>
      <c r="I233" s="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 s="69" t="s">
        <v>1132</v>
      </c>
      <c r="AE233" s="69" t="s">
        <v>1132</v>
      </c>
      <c r="AF233" s="69" t="s">
        <v>1132</v>
      </c>
      <c r="AG233" s="69" t="s">
        <v>1132</v>
      </c>
      <c r="AH233" s="69" t="s">
        <v>1132</v>
      </c>
      <c r="AI233" s="69" t="s">
        <v>1132</v>
      </c>
      <c r="AJ233" s="69" t="s">
        <v>1132</v>
      </c>
    </row>
    <row r="234" spans="1:36" x14ac:dyDescent="0.25">
      <c r="A234">
        <v>34232</v>
      </c>
      <c r="B234" s="85" t="str">
        <f>VLOOKUP(A234,ADM!$A$1:$R$343,14,0)</f>
        <v>CC Du Minervois au Caroux en Haut-Languedoc</v>
      </c>
      <c r="C234" t="s">
        <v>850</v>
      </c>
      <c r="D234" s="8" t="s">
        <v>115</v>
      </c>
      <c r="E234" s="4">
        <v>0.20799999999999999</v>
      </c>
      <c r="I234" s="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 s="69">
        <v>662</v>
      </c>
      <c r="AE234" s="69">
        <v>72</v>
      </c>
      <c r="AF234" s="69">
        <v>24</v>
      </c>
      <c r="AG234" s="69">
        <v>48</v>
      </c>
      <c r="AH234" s="69">
        <v>10.876132930513595</v>
      </c>
      <c r="AI234" s="69">
        <v>3.6253776435045322</v>
      </c>
      <c r="AJ234" s="69">
        <v>7.2507552870090644</v>
      </c>
    </row>
    <row r="235" spans="1:36" x14ac:dyDescent="0.25">
      <c r="A235">
        <v>34233</v>
      </c>
      <c r="B235" s="85" t="str">
        <f>VLOOKUP(A235,ADM!$A$1:$R$343,14,0)</f>
        <v>CC Lodévois et Larzac</v>
      </c>
      <c r="C235" t="s">
        <v>852</v>
      </c>
      <c r="D235" s="8" t="s">
        <v>115</v>
      </c>
      <c r="E235" s="4">
        <v>0.29399999999999998</v>
      </c>
      <c r="I235" s="8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 s="69" t="s">
        <v>1132</v>
      </c>
      <c r="AE235" s="69" t="s">
        <v>1132</v>
      </c>
      <c r="AF235" s="69" t="s">
        <v>1132</v>
      </c>
      <c r="AG235" s="69" t="s">
        <v>1132</v>
      </c>
      <c r="AH235" s="69" t="s">
        <v>1132</v>
      </c>
      <c r="AI235" s="69" t="s">
        <v>1132</v>
      </c>
      <c r="AJ235" s="69" t="s">
        <v>1132</v>
      </c>
    </row>
    <row r="236" spans="1:36" x14ac:dyDescent="0.25">
      <c r="A236">
        <v>34234</v>
      </c>
      <c r="B236" s="85" t="str">
        <f>VLOOKUP(A236,ADM!$A$1:$R$343,14,0)</f>
        <v>CC les Avant-Monts</v>
      </c>
      <c r="C236" t="s">
        <v>854</v>
      </c>
      <c r="D236" s="8" t="s">
        <v>115</v>
      </c>
      <c r="E236" s="4" t="s">
        <v>1132</v>
      </c>
      <c r="I236" s="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 s="69" t="s">
        <v>1132</v>
      </c>
      <c r="AE236" s="69" t="s">
        <v>1132</v>
      </c>
      <c r="AF236" s="69" t="s">
        <v>1132</v>
      </c>
      <c r="AG236" s="69" t="s">
        <v>1132</v>
      </c>
      <c r="AH236" s="69" t="s">
        <v>1132</v>
      </c>
      <c r="AI236" s="69" t="s">
        <v>1132</v>
      </c>
      <c r="AJ236" s="69" t="s">
        <v>1132</v>
      </c>
    </row>
    <row r="237" spans="1:36" x14ac:dyDescent="0.25">
      <c r="A237">
        <v>34235</v>
      </c>
      <c r="B237" s="85" t="str">
        <f>VLOOKUP(A237,ADM!$A$1:$R$343,14,0)</f>
        <v>CC des Monts de Lacaune et de la Montagne du Haut Languedoc</v>
      </c>
      <c r="C237" t="s">
        <v>856</v>
      </c>
      <c r="D237" s="8" t="s">
        <v>115</v>
      </c>
      <c r="E237" s="4">
        <v>0.311</v>
      </c>
      <c r="I237" s="8">
        <v>0</v>
      </c>
      <c r="J237">
        <v>0</v>
      </c>
      <c r="K237">
        <v>0</v>
      </c>
      <c r="L237">
        <v>0</v>
      </c>
      <c r="M237">
        <v>1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 s="69">
        <v>319</v>
      </c>
      <c r="AE237" s="69">
        <v>33</v>
      </c>
      <c r="AF237" s="69">
        <v>16</v>
      </c>
      <c r="AG237" s="69">
        <v>17</v>
      </c>
      <c r="AH237" s="69">
        <v>10.344827586206897</v>
      </c>
      <c r="AI237" s="69">
        <v>5.0156739811912221</v>
      </c>
      <c r="AJ237" s="69">
        <v>5.3291536050156738</v>
      </c>
    </row>
    <row r="238" spans="1:36" x14ac:dyDescent="0.25">
      <c r="A238">
        <v>34236</v>
      </c>
      <c r="B238" s="85" t="str">
        <f>VLOOKUP(A238,ADM!$A$1:$R$343,14,0)</f>
        <v>CC du Grand Pic Saint-Loup</v>
      </c>
      <c r="C238" t="s">
        <v>858</v>
      </c>
      <c r="D238" s="8" t="s">
        <v>115</v>
      </c>
      <c r="E238" s="4" t="s">
        <v>1132</v>
      </c>
      <c r="I238" s="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 s="69" t="s">
        <v>1132</v>
      </c>
      <c r="AE238" s="69" t="s">
        <v>1132</v>
      </c>
      <c r="AF238" s="69" t="s">
        <v>1132</v>
      </c>
      <c r="AG238" s="69" t="s">
        <v>1132</v>
      </c>
      <c r="AH238" s="69" t="s">
        <v>1132</v>
      </c>
      <c r="AI238" s="69" t="s">
        <v>1132</v>
      </c>
      <c r="AJ238" s="69" t="s">
        <v>1132</v>
      </c>
    </row>
    <row r="239" spans="1:36" x14ac:dyDescent="0.25">
      <c r="A239">
        <v>34237</v>
      </c>
      <c r="B239" s="85" t="str">
        <f>VLOOKUP(A239,ADM!$A$1:$R$343,14,0)</f>
        <v>CC les Avant-Monts</v>
      </c>
      <c r="C239" t="s">
        <v>860</v>
      </c>
      <c r="D239" s="8" t="s">
        <v>115</v>
      </c>
      <c r="E239" s="4">
        <v>0.14699999999999999</v>
      </c>
      <c r="I239" s="8">
        <v>0</v>
      </c>
      <c r="J239">
        <v>0</v>
      </c>
      <c r="K239">
        <v>0</v>
      </c>
      <c r="L239">
        <v>0</v>
      </c>
      <c r="M239">
        <v>1</v>
      </c>
      <c r="N239">
        <v>2</v>
      </c>
      <c r="O239">
        <v>0</v>
      </c>
      <c r="P239">
        <v>0</v>
      </c>
      <c r="Q239">
        <v>0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 s="69">
        <v>1393</v>
      </c>
      <c r="AE239" s="69">
        <v>123</v>
      </c>
      <c r="AF239" s="69">
        <v>69</v>
      </c>
      <c r="AG239" s="69">
        <v>54</v>
      </c>
      <c r="AH239" s="69">
        <v>8.8298636037329494</v>
      </c>
      <c r="AI239" s="69">
        <v>4.953338119167265</v>
      </c>
      <c r="AJ239" s="69">
        <v>3.8765254845656858</v>
      </c>
    </row>
    <row r="240" spans="1:36" x14ac:dyDescent="0.25">
      <c r="A240">
        <v>34238</v>
      </c>
      <c r="B240" s="85" t="str">
        <f>VLOOKUP(A240,ADM!$A$1:$R$343,14,0)</f>
        <v>CC du Grand Pic Saint-Loup</v>
      </c>
      <c r="C240" t="s">
        <v>863</v>
      </c>
      <c r="D240" s="8" t="s">
        <v>115</v>
      </c>
      <c r="E240" s="4" t="s">
        <v>1132</v>
      </c>
      <c r="I240" s="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 s="69" t="s">
        <v>1132</v>
      </c>
      <c r="AE240" s="69" t="s">
        <v>1132</v>
      </c>
      <c r="AF240" s="69" t="s">
        <v>1132</v>
      </c>
      <c r="AG240" s="69" t="s">
        <v>1132</v>
      </c>
      <c r="AH240" s="69" t="s">
        <v>1132</v>
      </c>
      <c r="AI240" s="69" t="s">
        <v>1132</v>
      </c>
      <c r="AJ240" s="69" t="s">
        <v>1132</v>
      </c>
    </row>
    <row r="241" spans="1:36" x14ac:dyDescent="0.25">
      <c r="A241">
        <v>34239</v>
      </c>
      <c r="B241" s="85" t="str">
        <f>VLOOKUP(A241,ADM!$A$1:$R$343,14,0)</f>
        <v>CC Vallée de l'hérault</v>
      </c>
      <c r="C241" t="s">
        <v>865</v>
      </c>
      <c r="D241" s="8" t="s">
        <v>115</v>
      </c>
      <c r="E241" s="4">
        <v>0.111</v>
      </c>
      <c r="I241" s="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</v>
      </c>
      <c r="W241">
        <v>0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0</v>
      </c>
      <c r="AD241" s="69">
        <v>2819</v>
      </c>
      <c r="AE241" s="69">
        <v>242</v>
      </c>
      <c r="AF241" s="69">
        <v>168</v>
      </c>
      <c r="AG241" s="69">
        <v>74</v>
      </c>
      <c r="AH241" s="69">
        <v>8.5846044696700954</v>
      </c>
      <c r="AI241" s="69">
        <v>5.9595601277048598</v>
      </c>
      <c r="AJ241" s="69">
        <v>2.6250443419652361</v>
      </c>
    </row>
    <row r="242" spans="1:36" x14ac:dyDescent="0.25">
      <c r="A242">
        <v>34240</v>
      </c>
      <c r="B242" s="85" t="str">
        <f>VLOOKUP(A242,ADM!$A$1:$R$343,14,0)</f>
        <v>CA du Pays de l'Or</v>
      </c>
      <c r="C242" t="s">
        <v>869</v>
      </c>
      <c r="D242" s="8" t="s">
        <v>135</v>
      </c>
      <c r="E242" s="4">
        <v>1.9E-2</v>
      </c>
      <c r="I242" s="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 s="69">
        <v>1653</v>
      </c>
      <c r="AE242" s="69">
        <v>106</v>
      </c>
      <c r="AF242" s="69">
        <v>94</v>
      </c>
      <c r="AG242" s="69">
        <v>12</v>
      </c>
      <c r="AH242" s="69">
        <v>6.4125831820931634</v>
      </c>
      <c r="AI242" s="69">
        <v>5.6866303690260134</v>
      </c>
      <c r="AJ242" s="69">
        <v>0.72595281306715065</v>
      </c>
    </row>
    <row r="243" spans="1:36" x14ac:dyDescent="0.25">
      <c r="A243">
        <v>34241</v>
      </c>
      <c r="B243" s="85" t="str">
        <f>VLOOKUP(A243,ADM!$A$1:$R$343,14,0)</f>
        <v>CC Vallée de l'hérault</v>
      </c>
      <c r="C243" t="s">
        <v>872</v>
      </c>
      <c r="D243" s="8" t="s">
        <v>115</v>
      </c>
      <c r="E243" s="4">
        <v>0.14499999999999999</v>
      </c>
      <c r="I243" s="8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 s="69">
        <v>453</v>
      </c>
      <c r="AE243" s="69">
        <v>43</v>
      </c>
      <c r="AF243" s="69">
        <v>26</v>
      </c>
      <c r="AG243" s="69">
        <v>17</v>
      </c>
      <c r="AH243" s="69">
        <v>9.4922737306843263</v>
      </c>
      <c r="AI243" s="69">
        <v>5.739514348785872</v>
      </c>
      <c r="AJ243" s="69">
        <v>3.7527593818984544</v>
      </c>
    </row>
    <row r="244" spans="1:36" x14ac:dyDescent="0.25">
      <c r="A244">
        <v>34242</v>
      </c>
      <c r="B244" s="85" t="str">
        <f>VLOOKUP(A244,ADM!$A$1:$R$343,14,0)</f>
        <v>CC du Grand Pic Saint-Loup</v>
      </c>
      <c r="C244" t="s">
        <v>874</v>
      </c>
      <c r="D244" s="8" t="s">
        <v>115</v>
      </c>
      <c r="E244" s="4">
        <v>8.5000000000000006E-2</v>
      </c>
      <c r="I244" s="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 s="69">
        <v>529</v>
      </c>
      <c r="AE244" s="69">
        <v>31</v>
      </c>
      <c r="AF244" s="69">
        <v>18</v>
      </c>
      <c r="AG244" s="69">
        <v>13</v>
      </c>
      <c r="AH244" s="69">
        <v>5.8601134215500945</v>
      </c>
      <c r="AI244" s="69">
        <v>3.4026465028355388</v>
      </c>
      <c r="AJ244" s="69">
        <v>2.4574669187145557</v>
      </c>
    </row>
    <row r="245" spans="1:36" x14ac:dyDescent="0.25">
      <c r="A245">
        <v>34243</v>
      </c>
      <c r="B245" s="85" t="str">
        <f>VLOOKUP(A245,ADM!$A$1:$R$343,14,0)</f>
        <v>CC des Cévennes Gangeoises et Suménoises</v>
      </c>
      <c r="C245" t="s">
        <v>876</v>
      </c>
      <c r="D245" s="8" t="s">
        <v>115</v>
      </c>
      <c r="E245" s="4">
        <v>0.14799999999999999</v>
      </c>
      <c r="I245" s="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 s="69">
        <v>1146</v>
      </c>
      <c r="AE245" s="69">
        <v>131</v>
      </c>
      <c r="AF245" s="69">
        <v>69</v>
      </c>
      <c r="AG245" s="69">
        <v>62</v>
      </c>
      <c r="AH245" s="69">
        <v>11.431064572425829</v>
      </c>
      <c r="AI245" s="69">
        <v>6.0209424083769632</v>
      </c>
      <c r="AJ245" s="69">
        <v>5.4101221640488655</v>
      </c>
    </row>
    <row r="246" spans="1:36" x14ac:dyDescent="0.25">
      <c r="A246">
        <v>34244</v>
      </c>
      <c r="B246" s="85" t="str">
        <f>VLOOKUP(A246,ADM!$A$1:$R$343,14,0)</f>
        <v>Montpellier Méditerranée Métropole</v>
      </c>
      <c r="C246" t="s">
        <v>878</v>
      </c>
      <c r="D246" s="8" t="s">
        <v>135</v>
      </c>
      <c r="E246" s="4">
        <v>3.5000000000000003E-2</v>
      </c>
      <c r="I246" s="8">
        <v>0</v>
      </c>
      <c r="J246">
        <v>0</v>
      </c>
      <c r="K246">
        <v>0</v>
      </c>
      <c r="L246">
        <v>2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 s="69">
        <v>1355</v>
      </c>
      <c r="AE246" s="69">
        <v>103</v>
      </c>
      <c r="AF246" s="69">
        <v>88</v>
      </c>
      <c r="AG246" s="69">
        <v>15</v>
      </c>
      <c r="AH246" s="69">
        <v>7.6014760147601477</v>
      </c>
      <c r="AI246" s="69">
        <v>6.4944649446494456</v>
      </c>
      <c r="AJ246" s="69">
        <v>1.107011070110701</v>
      </c>
    </row>
    <row r="247" spans="1:36" x14ac:dyDescent="0.25">
      <c r="A247">
        <v>34245</v>
      </c>
      <c r="B247" s="85" t="str">
        <f>VLOOKUP(A247,ADM!$A$1:$R$343,14,0)</f>
        <v>CC Sud-Hérault</v>
      </c>
      <c r="C247" t="s">
        <v>881</v>
      </c>
      <c r="D247" s="8" t="s">
        <v>115</v>
      </c>
      <c r="E247" s="4">
        <v>0.21</v>
      </c>
      <c r="I247" s="8">
        <v>0</v>
      </c>
      <c r="J247">
        <v>0</v>
      </c>
      <c r="K247">
        <v>0</v>
      </c>
      <c r="L247">
        <v>0</v>
      </c>
      <c r="M247">
        <v>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1</v>
      </c>
      <c r="AC247">
        <v>0</v>
      </c>
      <c r="AD247" s="69">
        <v>1324</v>
      </c>
      <c r="AE247" s="69">
        <v>212</v>
      </c>
      <c r="AF247" s="69">
        <v>76</v>
      </c>
      <c r="AG247" s="69">
        <v>136</v>
      </c>
      <c r="AH247" s="69">
        <v>16.012084592145015</v>
      </c>
      <c r="AI247" s="69">
        <v>5.7401812688821749</v>
      </c>
      <c r="AJ247" s="69">
        <v>10.271903323262841</v>
      </c>
    </row>
    <row r="248" spans="1:36" x14ac:dyDescent="0.25">
      <c r="A248">
        <v>34246</v>
      </c>
      <c r="B248" s="85" t="str">
        <f>VLOOKUP(A248,ADM!$A$1:$R$343,14,0)</f>
        <v>CC du Pays de Lunel</v>
      </c>
      <c r="C248" t="s">
        <v>883</v>
      </c>
      <c r="D248" s="8" t="s">
        <v>115</v>
      </c>
      <c r="E248" s="4">
        <v>5.8999999999999997E-2</v>
      </c>
      <c r="I248" s="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 s="69">
        <v>967</v>
      </c>
      <c r="AE248" s="69">
        <v>54</v>
      </c>
      <c r="AF248" s="69">
        <v>37</v>
      </c>
      <c r="AG248" s="69">
        <v>17</v>
      </c>
      <c r="AH248" s="69">
        <v>5.5842812823164421</v>
      </c>
      <c r="AI248" s="69">
        <v>3.8262668045501553</v>
      </c>
      <c r="AJ248" s="69">
        <v>1.7580144777662874</v>
      </c>
    </row>
    <row r="249" spans="1:36" x14ac:dyDescent="0.25">
      <c r="A249">
        <v>34247</v>
      </c>
      <c r="B249" s="85" t="str">
        <f>VLOOKUP(A249,ADM!$A$1:$R$343,14,0)</f>
        <v>CC du Grand Pic Saint-Loup</v>
      </c>
      <c r="C249" t="s">
        <v>885</v>
      </c>
      <c r="D249" s="8" t="s">
        <v>195</v>
      </c>
      <c r="E249" s="4">
        <v>0.01</v>
      </c>
      <c r="I249" s="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 s="69">
        <v>2046</v>
      </c>
      <c r="AE249" s="69">
        <v>92</v>
      </c>
      <c r="AF249" s="69">
        <v>80</v>
      </c>
      <c r="AG249" s="69">
        <v>12</v>
      </c>
      <c r="AH249" s="69">
        <v>4.4965786901270777</v>
      </c>
      <c r="AI249" s="69">
        <v>3.9100684261974585</v>
      </c>
      <c r="AJ249" s="69">
        <v>0.5865102639296188</v>
      </c>
    </row>
    <row r="250" spans="1:36" x14ac:dyDescent="0.25">
      <c r="A250">
        <v>34248</v>
      </c>
      <c r="B250" s="85" t="str">
        <f>VLOOKUP(A250,ADM!$A$1:$R$343,14,0)</f>
        <v>CC du Grand Pic Saint-Loup</v>
      </c>
      <c r="C250" t="s">
        <v>889</v>
      </c>
      <c r="D250" s="8" t="s">
        <v>115</v>
      </c>
      <c r="E250" s="4" t="s">
        <v>1132</v>
      </c>
      <c r="I250" s="8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 s="69" t="s">
        <v>1132</v>
      </c>
      <c r="AE250" s="69" t="s">
        <v>1132</v>
      </c>
      <c r="AF250" s="69" t="s">
        <v>1132</v>
      </c>
      <c r="AG250" s="69" t="s">
        <v>1132</v>
      </c>
      <c r="AH250" s="69" t="s">
        <v>1132</v>
      </c>
      <c r="AI250" s="69" t="s">
        <v>1132</v>
      </c>
      <c r="AJ250" s="69" t="s">
        <v>1132</v>
      </c>
    </row>
    <row r="251" spans="1:36" x14ac:dyDescent="0.25">
      <c r="A251">
        <v>34249</v>
      </c>
      <c r="B251" s="85" t="str">
        <f>VLOOKUP(A251,ADM!$A$1:$R$343,14,0)</f>
        <v>Montpellier Méditerranée Métropole</v>
      </c>
      <c r="C251" t="s">
        <v>891</v>
      </c>
      <c r="D251" s="8" t="s">
        <v>115</v>
      </c>
      <c r="E251" s="4">
        <v>2.7E-2</v>
      </c>
      <c r="I251" s="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 s="69">
        <v>1160</v>
      </c>
      <c r="AE251" s="69">
        <v>79</v>
      </c>
      <c r="AF251" s="69">
        <v>64</v>
      </c>
      <c r="AG251" s="69">
        <v>15</v>
      </c>
      <c r="AH251" s="69">
        <v>6.8103448275862064</v>
      </c>
      <c r="AI251" s="69">
        <v>5.5172413793103452</v>
      </c>
      <c r="AJ251" s="69">
        <v>1.2931034482758621</v>
      </c>
    </row>
    <row r="252" spans="1:36" x14ac:dyDescent="0.25">
      <c r="A252">
        <v>34250</v>
      </c>
      <c r="B252" s="85" t="str">
        <f>VLOOKUP(A252,ADM!$A$1:$R$343,14,0)</f>
        <v>CC Du Minervois au Caroux en Haut-Languedoc</v>
      </c>
      <c r="C252" t="s">
        <v>895</v>
      </c>
      <c r="D252" s="8" t="s">
        <v>115</v>
      </c>
      <c r="E252" s="4">
        <v>0.25600000000000001</v>
      </c>
      <c r="I252" s="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 s="69">
        <v>279</v>
      </c>
      <c r="AE252" s="69">
        <v>35</v>
      </c>
      <c r="AF252" s="69">
        <v>12</v>
      </c>
      <c r="AG252" s="69">
        <v>23</v>
      </c>
      <c r="AH252" s="69">
        <v>12.544802867383511</v>
      </c>
      <c r="AI252" s="69">
        <v>4.3010752688172049</v>
      </c>
      <c r="AJ252" s="69">
        <v>8.2437275985663092</v>
      </c>
    </row>
    <row r="253" spans="1:36" x14ac:dyDescent="0.25">
      <c r="A253">
        <v>34251</v>
      </c>
      <c r="B253" s="85" t="str">
        <f>VLOOKUP(A253,ADM!$A$1:$R$343,14,0)</f>
        <v>CC Lodévois et Larzac</v>
      </c>
      <c r="C253" t="s">
        <v>897</v>
      </c>
      <c r="D253" s="8" t="s">
        <v>115</v>
      </c>
      <c r="E253" s="4">
        <v>0.126</v>
      </c>
      <c r="I253" s="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 s="69" t="s">
        <v>1132</v>
      </c>
      <c r="AE253" s="69" t="s">
        <v>1132</v>
      </c>
      <c r="AF253" s="69" t="s">
        <v>1132</v>
      </c>
      <c r="AG253" s="69" t="s">
        <v>1132</v>
      </c>
      <c r="AH253" s="69" t="s">
        <v>1132</v>
      </c>
      <c r="AI253" s="69" t="s">
        <v>1132</v>
      </c>
      <c r="AJ253" s="69" t="s">
        <v>1132</v>
      </c>
    </row>
    <row r="254" spans="1:36" x14ac:dyDescent="0.25">
      <c r="A254">
        <v>34252</v>
      </c>
      <c r="B254" s="85" t="str">
        <f>VLOOKUP(A254,ADM!$A$1:$R$343,14,0)</f>
        <v>CC Grand Orb en Languedoc</v>
      </c>
      <c r="C254" t="s">
        <v>899</v>
      </c>
      <c r="D254" s="8" t="s">
        <v>115</v>
      </c>
      <c r="E254" s="4">
        <v>0.23400000000000001</v>
      </c>
      <c r="I254" s="8">
        <v>0</v>
      </c>
      <c r="J254">
        <v>1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 s="69">
        <v>277</v>
      </c>
      <c r="AE254" s="69">
        <v>49</v>
      </c>
      <c r="AF254" s="69">
        <v>14</v>
      </c>
      <c r="AG254" s="69">
        <v>35</v>
      </c>
      <c r="AH254" s="69">
        <v>17.689530685920577</v>
      </c>
      <c r="AI254" s="69">
        <v>5.0541516245487363</v>
      </c>
      <c r="AJ254" s="69">
        <v>12.63537906137184</v>
      </c>
    </row>
    <row r="255" spans="1:36" x14ac:dyDescent="0.25">
      <c r="A255">
        <v>34253</v>
      </c>
      <c r="B255" s="85" t="str">
        <f>VLOOKUP(A255,ADM!$A$1:$R$343,14,0)</f>
        <v>CC Lodévois et Larzac</v>
      </c>
      <c r="C255" t="s">
        <v>901</v>
      </c>
      <c r="D255" s="8" t="s">
        <v>115</v>
      </c>
      <c r="E255" s="4" t="s">
        <v>1132</v>
      </c>
      <c r="I255" s="8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 s="69" t="s">
        <v>1132</v>
      </c>
      <c r="AE255" s="69" t="s">
        <v>1132</v>
      </c>
      <c r="AF255" s="69" t="s">
        <v>1132</v>
      </c>
      <c r="AG255" s="69" t="s">
        <v>1132</v>
      </c>
      <c r="AH255" s="69" t="s">
        <v>1132</v>
      </c>
      <c r="AI255" s="69" t="s">
        <v>1132</v>
      </c>
      <c r="AJ255" s="69" t="s">
        <v>1132</v>
      </c>
    </row>
    <row r="256" spans="1:36" x14ac:dyDescent="0.25">
      <c r="A256">
        <v>34254</v>
      </c>
      <c r="B256" s="85" t="str">
        <f>VLOOKUP(A256,ADM!$A$1:$R$343,14,0)</f>
        <v>CC du Clermontais</v>
      </c>
      <c r="C256" t="s">
        <v>903</v>
      </c>
      <c r="D256" s="8" t="s">
        <v>115</v>
      </c>
      <c r="E256" s="4">
        <v>7.0000000000000007E-2</v>
      </c>
      <c r="I256" s="8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 s="69">
        <v>569</v>
      </c>
      <c r="AE256" s="69">
        <v>59</v>
      </c>
      <c r="AF256" s="69">
        <v>30</v>
      </c>
      <c r="AG256" s="69">
        <v>29</v>
      </c>
      <c r="AH256" s="69">
        <v>10.369068541300527</v>
      </c>
      <c r="AI256" s="69">
        <v>5.272407732864675</v>
      </c>
      <c r="AJ256" s="69">
        <v>5.0966608084358525</v>
      </c>
    </row>
    <row r="257" spans="1:36" x14ac:dyDescent="0.25">
      <c r="A257">
        <v>34255</v>
      </c>
      <c r="B257" s="85" t="str">
        <f>VLOOKUP(A257,ADM!$A$1:$R$343,14,0)</f>
        <v>CC du Grand Pic Saint-Loup</v>
      </c>
      <c r="C257" t="s">
        <v>905</v>
      </c>
      <c r="D257" s="8" t="s">
        <v>195</v>
      </c>
      <c r="E257" s="4">
        <v>2.1999999999999999E-2</v>
      </c>
      <c r="I257" s="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1</v>
      </c>
      <c r="AC257">
        <v>0</v>
      </c>
      <c r="AD257" s="69">
        <v>4330</v>
      </c>
      <c r="AE257" s="69">
        <v>220</v>
      </c>
      <c r="AF257" s="69">
        <v>188</v>
      </c>
      <c r="AG257" s="69">
        <v>32</v>
      </c>
      <c r="AH257" s="69">
        <v>5.0808314087759809</v>
      </c>
      <c r="AI257" s="69">
        <v>4.3418013856812934</v>
      </c>
      <c r="AJ257" s="69">
        <v>0.73903002309468824</v>
      </c>
    </row>
    <row r="258" spans="1:36" x14ac:dyDescent="0.25">
      <c r="A258">
        <v>34256</v>
      </c>
      <c r="B258" s="85" t="str">
        <f>VLOOKUP(A258,ADM!$A$1:$R$343,14,0)</f>
        <v>Montpellier Méditerranée Métropole</v>
      </c>
      <c r="C258" t="s">
        <v>910</v>
      </c>
      <c r="D258" s="8" t="s">
        <v>135</v>
      </c>
      <c r="E258" s="4">
        <v>4.3999999999999997E-2</v>
      </c>
      <c r="I258" s="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 s="69">
        <v>904</v>
      </c>
      <c r="AE258" s="69">
        <v>67</v>
      </c>
      <c r="AF258" s="69">
        <v>45</v>
      </c>
      <c r="AG258" s="69">
        <v>22</v>
      </c>
      <c r="AH258" s="69">
        <v>7.4115044247787614</v>
      </c>
      <c r="AI258" s="69">
        <v>4.9778761061946906</v>
      </c>
      <c r="AJ258" s="69">
        <v>2.4336283185840708</v>
      </c>
    </row>
    <row r="259" spans="1:36" x14ac:dyDescent="0.25">
      <c r="A259">
        <v>34257</v>
      </c>
      <c r="B259" s="85" t="str">
        <f>VLOOKUP(A259,ADM!$A$1:$R$343,14,0)</f>
        <v>CC Grand Orb en Languedoc</v>
      </c>
      <c r="C259" t="s">
        <v>912</v>
      </c>
      <c r="D259" s="8" t="s">
        <v>115</v>
      </c>
      <c r="E259" s="4" t="s">
        <v>1132</v>
      </c>
      <c r="I259" s="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 s="69" t="s">
        <v>1132</v>
      </c>
      <c r="AE259" s="69" t="s">
        <v>1132</v>
      </c>
      <c r="AF259" s="69" t="s">
        <v>1132</v>
      </c>
      <c r="AG259" s="69" t="s">
        <v>1132</v>
      </c>
      <c r="AH259" s="69" t="s">
        <v>1132</v>
      </c>
      <c r="AI259" s="69" t="s">
        <v>1132</v>
      </c>
      <c r="AJ259" s="69" t="s">
        <v>1132</v>
      </c>
    </row>
    <row r="260" spans="1:36" x14ac:dyDescent="0.25">
      <c r="A260">
        <v>34258</v>
      </c>
      <c r="B260" s="85" t="str">
        <f>VLOOKUP(A260,ADM!$A$1:$R$343,14,0)</f>
        <v>CC les Avant-Monts</v>
      </c>
      <c r="C260" t="s">
        <v>914</v>
      </c>
      <c r="D260" s="8" t="s">
        <v>115</v>
      </c>
      <c r="E260" s="4">
        <v>9.8000000000000004E-2</v>
      </c>
      <c r="I260" s="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2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2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2</v>
      </c>
      <c r="AC260">
        <v>0</v>
      </c>
      <c r="AD260" s="69">
        <v>957</v>
      </c>
      <c r="AE260" s="69">
        <v>58</v>
      </c>
      <c r="AF260" s="69">
        <v>34</v>
      </c>
      <c r="AG260" s="69">
        <v>24</v>
      </c>
      <c r="AH260" s="69">
        <v>6.0606060606060606</v>
      </c>
      <c r="AI260" s="69">
        <v>3.5527690700104495</v>
      </c>
      <c r="AJ260" s="69">
        <v>2.507836990595611</v>
      </c>
    </row>
    <row r="261" spans="1:36" x14ac:dyDescent="0.25">
      <c r="A261">
        <v>34259</v>
      </c>
      <c r="B261" s="85" t="str">
        <f>VLOOKUP(A261,ADM!$A$1:$R$343,14,0)</f>
        <v>Montpellier Méditerranée Métropole</v>
      </c>
      <c r="C261" t="s">
        <v>916</v>
      </c>
      <c r="D261" s="8" t="s">
        <v>135</v>
      </c>
      <c r="E261" s="4">
        <v>1.7999999999999999E-2</v>
      </c>
      <c r="I261" s="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 s="69">
        <v>2601</v>
      </c>
      <c r="AE261" s="69">
        <v>157</v>
      </c>
      <c r="AF261" s="69">
        <v>123</v>
      </c>
      <c r="AG261" s="69">
        <v>34</v>
      </c>
      <c r="AH261" s="69">
        <v>6.0361399461745489</v>
      </c>
      <c r="AI261" s="69">
        <v>4.728950403690888</v>
      </c>
      <c r="AJ261" s="69">
        <v>1.3071895424836601</v>
      </c>
    </row>
    <row r="262" spans="1:36" x14ac:dyDescent="0.25">
      <c r="A262">
        <v>34260</v>
      </c>
      <c r="B262" s="85" t="str">
        <f>VLOOKUP(A262,ADM!$A$1:$R$343,14,0)</f>
        <v>CC Grand Orb en Languedoc</v>
      </c>
      <c r="C262" t="s">
        <v>921</v>
      </c>
      <c r="D262" s="8" t="s">
        <v>115</v>
      </c>
      <c r="E262" s="4">
        <v>0.247</v>
      </c>
      <c r="I262" s="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 s="69">
        <v>796</v>
      </c>
      <c r="AE262" s="69">
        <v>124</v>
      </c>
      <c r="AF262" s="69">
        <v>59</v>
      </c>
      <c r="AG262" s="69">
        <v>65</v>
      </c>
      <c r="AH262" s="69">
        <v>15.577889447236181</v>
      </c>
      <c r="AI262" s="69">
        <v>7.4120603015075375</v>
      </c>
      <c r="AJ262" s="69">
        <v>8.1658291457286438</v>
      </c>
    </row>
    <row r="263" spans="1:36" x14ac:dyDescent="0.25">
      <c r="A263">
        <v>34261</v>
      </c>
      <c r="B263" s="85" t="str">
        <f>VLOOKUP(A263,ADM!$A$1:$R$343,14,0)</f>
        <v>CC Vallée de l'hérault</v>
      </c>
      <c r="C263" t="s">
        <v>923</v>
      </c>
      <c r="D263" s="8" t="s">
        <v>115</v>
      </c>
      <c r="E263" s="4">
        <v>0.155</v>
      </c>
      <c r="I263" s="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2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 s="69" t="s">
        <v>1132</v>
      </c>
      <c r="AE263" s="69" t="s">
        <v>1132</v>
      </c>
      <c r="AF263" s="69" t="s">
        <v>1132</v>
      </c>
      <c r="AG263" s="69" t="s">
        <v>1132</v>
      </c>
      <c r="AH263" s="69" t="s">
        <v>1132</v>
      </c>
      <c r="AI263" s="69" t="s">
        <v>1132</v>
      </c>
      <c r="AJ263" s="69" t="s">
        <v>1132</v>
      </c>
    </row>
    <row r="264" spans="1:36" x14ac:dyDescent="0.25">
      <c r="A264">
        <v>34262</v>
      </c>
      <c r="B264" s="85" t="str">
        <f>VLOOKUP(A264,ADM!$A$1:$R$343,14,0)</f>
        <v>CC Vallée de l'hérault</v>
      </c>
      <c r="C264" t="s">
        <v>925</v>
      </c>
      <c r="D264" s="8" t="s">
        <v>115</v>
      </c>
      <c r="E264" s="4" t="s">
        <v>1132</v>
      </c>
      <c r="I264" s="8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 s="69" t="s">
        <v>1132</v>
      </c>
      <c r="AE264" s="69" t="s">
        <v>1132</v>
      </c>
      <c r="AF264" s="69" t="s">
        <v>1132</v>
      </c>
      <c r="AG264" s="69" t="s">
        <v>1132</v>
      </c>
      <c r="AH264" s="69" t="s">
        <v>1132</v>
      </c>
      <c r="AI264" s="69" t="s">
        <v>1132</v>
      </c>
      <c r="AJ264" s="69" t="s">
        <v>1132</v>
      </c>
    </row>
    <row r="265" spans="1:36" x14ac:dyDescent="0.25">
      <c r="A265">
        <v>34263</v>
      </c>
      <c r="B265" s="85" t="str">
        <f>VLOOKUP(A265,ADM!$A$1:$R$343,14,0)</f>
        <v>CC du Grand Pic Saint-Loup</v>
      </c>
      <c r="C265" t="s">
        <v>927</v>
      </c>
      <c r="D265" s="8" t="s">
        <v>115</v>
      </c>
      <c r="E265" s="4" t="s">
        <v>1132</v>
      </c>
      <c r="I265" s="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 s="69" t="s">
        <v>1132</v>
      </c>
      <c r="AE265" s="69" t="s">
        <v>1132</v>
      </c>
      <c r="AF265" s="69" t="s">
        <v>1132</v>
      </c>
      <c r="AG265" s="69" t="s">
        <v>1132</v>
      </c>
      <c r="AH265" s="69" t="s">
        <v>1132</v>
      </c>
      <c r="AI265" s="69" t="s">
        <v>1132</v>
      </c>
      <c r="AJ265" s="69" t="s">
        <v>1132</v>
      </c>
    </row>
    <row r="266" spans="1:36" x14ac:dyDescent="0.25">
      <c r="A266">
        <v>34264</v>
      </c>
      <c r="B266" s="85" t="str">
        <f>VLOOKUP(A266,ADM!$A$1:$R$343,14,0)</f>
        <v>CC du Grand Pic Saint-Loup</v>
      </c>
      <c r="C266" t="s">
        <v>929</v>
      </c>
      <c r="D266" s="8" t="s">
        <v>115</v>
      </c>
      <c r="E266" s="4">
        <v>0.17199999999999999</v>
      </c>
      <c r="I266" s="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 s="69">
        <v>196</v>
      </c>
      <c r="AE266" s="69">
        <v>24</v>
      </c>
      <c r="AF266" s="69">
        <v>12</v>
      </c>
      <c r="AG266" s="69">
        <v>12</v>
      </c>
      <c r="AH266" s="69">
        <v>12.244897959183673</v>
      </c>
      <c r="AI266" s="69">
        <v>6.1224489795918364</v>
      </c>
      <c r="AJ266" s="69">
        <v>6.1224489795918364</v>
      </c>
    </row>
    <row r="267" spans="1:36" x14ac:dyDescent="0.25">
      <c r="A267">
        <v>34265</v>
      </c>
      <c r="B267" s="85" t="str">
        <f>VLOOKUP(A267,ADM!$A$1:$R$343,14,0)</f>
        <v>CC du Grand Pic Saint-Loup</v>
      </c>
      <c r="C267" t="s">
        <v>931</v>
      </c>
      <c r="D267" s="8" t="s">
        <v>115</v>
      </c>
      <c r="E267" s="4" t="s">
        <v>1132</v>
      </c>
      <c r="I267" s="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 s="69" t="s">
        <v>1132</v>
      </c>
      <c r="AE267" s="69" t="s">
        <v>1132</v>
      </c>
      <c r="AF267" s="69" t="s">
        <v>1132</v>
      </c>
      <c r="AG267" s="69" t="s">
        <v>1132</v>
      </c>
      <c r="AH267" s="69" t="s">
        <v>1132</v>
      </c>
      <c r="AI267" s="69" t="s">
        <v>1132</v>
      </c>
      <c r="AJ267" s="69" t="s">
        <v>1132</v>
      </c>
    </row>
    <row r="268" spans="1:36" x14ac:dyDescent="0.25">
      <c r="A268">
        <v>34266</v>
      </c>
      <c r="B268" s="85" t="str">
        <f>VLOOKUP(A268,ADM!$A$1:$R$343,14,0)</f>
        <v>CC du Grand Pic Saint-Loup</v>
      </c>
      <c r="C268" t="s">
        <v>933</v>
      </c>
      <c r="D268" s="8" t="s">
        <v>115</v>
      </c>
      <c r="E268" s="4" t="s">
        <v>1132</v>
      </c>
      <c r="I268" s="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 s="69" t="s">
        <v>1132</v>
      </c>
      <c r="AE268" s="69" t="s">
        <v>1132</v>
      </c>
      <c r="AF268" s="69" t="s">
        <v>1132</v>
      </c>
      <c r="AG268" s="69" t="s">
        <v>1132</v>
      </c>
      <c r="AH268" s="69" t="s">
        <v>1132</v>
      </c>
      <c r="AI268" s="69" t="s">
        <v>1132</v>
      </c>
      <c r="AJ268" s="69" t="s">
        <v>1132</v>
      </c>
    </row>
    <row r="269" spans="1:36" x14ac:dyDescent="0.25">
      <c r="A269">
        <v>34267</v>
      </c>
      <c r="B269" s="85" t="str">
        <f>VLOOKUP(A269,ADM!$A$1:$R$343,14,0)</f>
        <v>CC Vallée de l'hérault</v>
      </c>
      <c r="C269" t="s">
        <v>935</v>
      </c>
      <c r="D269" s="8" t="s">
        <v>115</v>
      </c>
      <c r="E269" s="4">
        <v>0.127</v>
      </c>
      <c r="I269" s="8">
        <v>0</v>
      </c>
      <c r="J269">
        <v>0</v>
      </c>
      <c r="K269">
        <v>0</v>
      </c>
      <c r="L269">
        <v>0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 s="69">
        <v>1025</v>
      </c>
      <c r="AE269" s="69">
        <v>88</v>
      </c>
      <c r="AF269" s="69">
        <v>41</v>
      </c>
      <c r="AG269" s="69">
        <v>47</v>
      </c>
      <c r="AH269" s="69">
        <v>8.5853658536585371</v>
      </c>
      <c r="AI269" s="69">
        <v>4</v>
      </c>
      <c r="AJ269" s="69">
        <v>4.5853658536585362</v>
      </c>
    </row>
    <row r="270" spans="1:36" x14ac:dyDescent="0.25">
      <c r="A270">
        <v>34268</v>
      </c>
      <c r="B270" s="85" t="str">
        <f>VLOOKUP(A270,ADM!$A$1:$R$343,14,0)</f>
        <v>CC Lodévois et Larzac</v>
      </c>
      <c r="C270" t="s">
        <v>937</v>
      </c>
      <c r="D270" s="8" t="s">
        <v>115</v>
      </c>
      <c r="E270" s="4">
        <v>0.14000000000000001</v>
      </c>
      <c r="I270" s="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 s="69">
        <v>397</v>
      </c>
      <c r="AE270" s="69">
        <v>40</v>
      </c>
      <c r="AF270" s="69">
        <v>16</v>
      </c>
      <c r="AG270" s="69">
        <v>24</v>
      </c>
      <c r="AH270" s="69">
        <v>10.075566750629724</v>
      </c>
      <c r="AI270" s="69">
        <v>4.0302267002518892</v>
      </c>
      <c r="AJ270" s="69">
        <v>6.0453400503778338</v>
      </c>
    </row>
    <row r="271" spans="1:36" x14ac:dyDescent="0.25">
      <c r="A271">
        <v>34269</v>
      </c>
      <c r="B271" s="85" t="str">
        <f>VLOOKUP(A271,ADM!$A$1:$R$343,14,0)</f>
        <v>CC Du Minervois au Caroux en Haut-Languedoc</v>
      </c>
      <c r="C271" t="s">
        <v>939</v>
      </c>
      <c r="D271" s="8" t="s">
        <v>115</v>
      </c>
      <c r="E271" s="4" t="s">
        <v>1132</v>
      </c>
      <c r="I271" s="8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 s="69" t="s">
        <v>1132</v>
      </c>
      <c r="AE271" s="69" t="s">
        <v>1132</v>
      </c>
      <c r="AF271" s="69" t="s">
        <v>1132</v>
      </c>
      <c r="AG271" s="69" t="s">
        <v>1132</v>
      </c>
      <c r="AH271" s="69" t="s">
        <v>1132</v>
      </c>
      <c r="AI271" s="69" t="s">
        <v>1132</v>
      </c>
      <c r="AJ271" s="69" t="s">
        <v>1132</v>
      </c>
    </row>
    <row r="272" spans="1:36" x14ac:dyDescent="0.25">
      <c r="A272">
        <v>34270</v>
      </c>
      <c r="B272" s="85" t="str">
        <f>VLOOKUP(A272,ADM!$A$1:$R$343,14,0)</f>
        <v>Montpellier Méditerranée Métropole</v>
      </c>
      <c r="C272" t="s">
        <v>941</v>
      </c>
      <c r="D272" s="8" t="s">
        <v>195</v>
      </c>
      <c r="E272" s="4">
        <v>1.9E-2</v>
      </c>
      <c r="I272" s="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0</v>
      </c>
      <c r="AB272">
        <v>0</v>
      </c>
      <c r="AC272">
        <v>0</v>
      </c>
      <c r="AD272" s="69">
        <v>5300</v>
      </c>
      <c r="AE272" s="69">
        <v>312</v>
      </c>
      <c r="AF272" s="69">
        <v>254</v>
      </c>
      <c r="AG272" s="69">
        <v>58</v>
      </c>
      <c r="AH272" s="69">
        <v>5.8867924528301883</v>
      </c>
      <c r="AI272" s="69">
        <v>4.7924528301886795</v>
      </c>
      <c r="AJ272" s="69">
        <v>1.0943396226415094</v>
      </c>
    </row>
    <row r="273" spans="1:36" x14ac:dyDescent="0.25">
      <c r="A273">
        <v>34271</v>
      </c>
      <c r="B273" s="85" t="str">
        <f>VLOOKUP(A273,ADM!$A$1:$R$343,14,0)</f>
        <v>CC Du Minervois au Caroux en Haut-Languedoc</v>
      </c>
      <c r="C273" t="s">
        <v>945</v>
      </c>
      <c r="D273" s="8" t="s">
        <v>115</v>
      </c>
      <c r="E273" s="4">
        <v>0.30599999999999999</v>
      </c>
      <c r="I273" s="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 s="69" t="s">
        <v>1132</v>
      </c>
      <c r="AE273" s="69" t="s">
        <v>1132</v>
      </c>
      <c r="AF273" s="69" t="s">
        <v>1132</v>
      </c>
      <c r="AG273" s="69" t="s">
        <v>1132</v>
      </c>
      <c r="AH273" s="69" t="s">
        <v>1132</v>
      </c>
      <c r="AI273" s="69" t="s">
        <v>1132</v>
      </c>
      <c r="AJ273" s="69" t="s">
        <v>1132</v>
      </c>
    </row>
    <row r="274" spans="1:36" x14ac:dyDescent="0.25">
      <c r="A274">
        <v>34272</v>
      </c>
      <c r="B274" s="85" t="str">
        <f>VLOOKUP(A274,ADM!$A$1:$R$343,14,0)</f>
        <v>CC du Pays de Lunel</v>
      </c>
      <c r="C274" t="s">
        <v>947</v>
      </c>
      <c r="D274" s="8" t="s">
        <v>135</v>
      </c>
      <c r="E274" s="4">
        <v>3.9E-2</v>
      </c>
      <c r="I274" s="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 s="69">
        <v>1291</v>
      </c>
      <c r="AE274" s="69">
        <v>59</v>
      </c>
      <c r="AF274" s="69">
        <v>48</v>
      </c>
      <c r="AG274" s="69">
        <v>11</v>
      </c>
      <c r="AH274" s="69">
        <v>4.5701006971340048</v>
      </c>
      <c r="AI274" s="69">
        <v>3.7180480247869867</v>
      </c>
      <c r="AJ274" s="69">
        <v>0.85205267234701787</v>
      </c>
    </row>
    <row r="275" spans="1:36" x14ac:dyDescent="0.25">
      <c r="A275">
        <v>34273</v>
      </c>
      <c r="B275" s="85" t="str">
        <f>VLOOKUP(A275,ADM!$A$1:$R$343,14,0)</f>
        <v>CC Du Minervois au Caroux en Haut-Languedoc</v>
      </c>
      <c r="C275" t="s">
        <v>950</v>
      </c>
      <c r="D275" s="8" t="s">
        <v>115</v>
      </c>
      <c r="E275" s="4" t="s">
        <v>1132</v>
      </c>
      <c r="I275" s="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 s="69" t="s">
        <v>1132</v>
      </c>
      <c r="AE275" s="69" t="s">
        <v>1132</v>
      </c>
      <c r="AF275" s="69" t="s">
        <v>1132</v>
      </c>
      <c r="AG275" s="69" t="s">
        <v>1132</v>
      </c>
      <c r="AH275" s="69" t="s">
        <v>1132</v>
      </c>
      <c r="AI275" s="69" t="s">
        <v>1132</v>
      </c>
      <c r="AJ275" s="69" t="s">
        <v>1132</v>
      </c>
    </row>
    <row r="276" spans="1:36" x14ac:dyDescent="0.25">
      <c r="A276">
        <v>34274</v>
      </c>
      <c r="B276" s="85" t="str">
        <f>VLOOKUP(A276,ADM!$A$1:$R$343,14,0)</f>
        <v>CC du Grand Pic Saint-Loup</v>
      </c>
      <c r="C276" t="s">
        <v>952</v>
      </c>
      <c r="D276" s="8" t="s">
        <v>115</v>
      </c>
      <c r="E276" s="4">
        <v>4.5999999999999999E-2</v>
      </c>
      <c r="I276" s="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 s="69">
        <v>1210</v>
      </c>
      <c r="AE276" s="69">
        <v>105</v>
      </c>
      <c r="AF276" s="69">
        <v>69</v>
      </c>
      <c r="AG276" s="69">
        <v>36</v>
      </c>
      <c r="AH276" s="69">
        <v>8.677685950413224</v>
      </c>
      <c r="AI276" s="69">
        <v>5.7024793388429753</v>
      </c>
      <c r="AJ276" s="69">
        <v>2.9752066115702478</v>
      </c>
    </row>
    <row r="277" spans="1:36" x14ac:dyDescent="0.25">
      <c r="A277">
        <v>34276</v>
      </c>
      <c r="B277" s="85" t="str">
        <f>VLOOKUP(A277,ADM!$A$1:$R$343,14,0)</f>
        <v>CC du Grand Pic Saint-Loup</v>
      </c>
      <c r="C277" t="s">
        <v>955</v>
      </c>
      <c r="D277" s="8" t="s">
        <v>135</v>
      </c>
      <c r="E277" s="4">
        <v>1.6E-2</v>
      </c>
      <c r="I277" s="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 s="69">
        <v>1788</v>
      </c>
      <c r="AE277" s="69">
        <v>81</v>
      </c>
      <c r="AF277" s="69">
        <v>66</v>
      </c>
      <c r="AG277" s="69">
        <v>15</v>
      </c>
      <c r="AH277" s="69">
        <v>4.5302013422818792</v>
      </c>
      <c r="AI277" s="69">
        <v>3.6912751677852351</v>
      </c>
      <c r="AJ277" s="69">
        <v>0.83892617449664431</v>
      </c>
    </row>
    <row r="278" spans="1:36" x14ac:dyDescent="0.25">
      <c r="A278">
        <v>34277</v>
      </c>
      <c r="B278" s="85" t="str">
        <f>VLOOKUP(A278,ADM!$A$1:$R$343,14,0)</f>
        <v>CC Lodévois et Larzac</v>
      </c>
      <c r="C278" t="s">
        <v>959</v>
      </c>
      <c r="D278" s="8" t="s">
        <v>115</v>
      </c>
      <c r="E278" s="4">
        <v>0.2</v>
      </c>
      <c r="I278" s="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 s="69" t="s">
        <v>1132</v>
      </c>
      <c r="AE278" s="69" t="s">
        <v>1132</v>
      </c>
      <c r="AF278" s="69" t="s">
        <v>1132</v>
      </c>
      <c r="AG278" s="69" t="s">
        <v>1132</v>
      </c>
      <c r="AH278" s="69" t="s">
        <v>1132</v>
      </c>
      <c r="AI278" s="69" t="s">
        <v>1132</v>
      </c>
      <c r="AJ278" s="69" t="s">
        <v>1132</v>
      </c>
    </row>
    <row r="279" spans="1:36" x14ac:dyDescent="0.25">
      <c r="A279">
        <v>34278</v>
      </c>
      <c r="B279" s="85" t="str">
        <f>VLOOKUP(A279,ADM!$A$1:$R$343,14,0)</f>
        <v>CC Lodévois et Larzac</v>
      </c>
      <c r="C279" t="s">
        <v>961</v>
      </c>
      <c r="D279" s="8" t="s">
        <v>115</v>
      </c>
      <c r="E279" s="4" t="s">
        <v>1132</v>
      </c>
      <c r="I279" s="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 s="69" t="s">
        <v>1132</v>
      </c>
      <c r="AE279" s="69" t="s">
        <v>1132</v>
      </c>
      <c r="AF279" s="69" t="s">
        <v>1132</v>
      </c>
      <c r="AG279" s="69" t="s">
        <v>1132</v>
      </c>
      <c r="AH279" s="69" t="s">
        <v>1132</v>
      </c>
      <c r="AI279" s="69" t="s">
        <v>1132</v>
      </c>
      <c r="AJ279" s="69" t="s">
        <v>1132</v>
      </c>
    </row>
    <row r="280" spans="1:36" x14ac:dyDescent="0.25">
      <c r="A280">
        <v>34279</v>
      </c>
      <c r="B280" s="85" t="str">
        <f>VLOOKUP(A280,ADM!$A$1:$R$343,14,0)</f>
        <v>CC les Avant-Monts</v>
      </c>
      <c r="C280" t="s">
        <v>963</v>
      </c>
      <c r="D280" s="8" t="s">
        <v>115</v>
      </c>
      <c r="E280" s="4">
        <v>0.27800000000000002</v>
      </c>
      <c r="I280" s="8">
        <v>0</v>
      </c>
      <c r="J280">
        <v>0</v>
      </c>
      <c r="K280">
        <v>0</v>
      </c>
      <c r="L280">
        <v>0</v>
      </c>
      <c r="M280">
        <v>1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 s="69">
        <v>285</v>
      </c>
      <c r="AE280" s="69">
        <v>47</v>
      </c>
      <c r="AF280" s="69">
        <v>18</v>
      </c>
      <c r="AG280" s="69">
        <v>29</v>
      </c>
      <c r="AH280" s="69">
        <v>16.491228070175438</v>
      </c>
      <c r="AI280" s="69">
        <v>6.3157894736842106</v>
      </c>
      <c r="AJ280" s="69">
        <v>10.175438596491228</v>
      </c>
    </row>
    <row r="281" spans="1:36" x14ac:dyDescent="0.25">
      <c r="A281">
        <v>34280</v>
      </c>
      <c r="B281" s="85" t="str">
        <f>VLOOKUP(A281,ADM!$A$1:$R$343,14,0)</f>
        <v>CC du Pays de Lunel</v>
      </c>
      <c r="C281" t="s">
        <v>965</v>
      </c>
      <c r="D281" s="8" t="s">
        <v>135</v>
      </c>
      <c r="E281" s="4">
        <v>8.3000000000000004E-2</v>
      </c>
      <c r="I281" s="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 s="69" t="s">
        <v>1132</v>
      </c>
      <c r="AE281" s="69" t="s">
        <v>1132</v>
      </c>
      <c r="AF281" s="69" t="s">
        <v>1132</v>
      </c>
      <c r="AG281" s="69" t="s">
        <v>1132</v>
      </c>
      <c r="AH281" s="69" t="s">
        <v>1132</v>
      </c>
      <c r="AI281" s="69" t="s">
        <v>1132</v>
      </c>
      <c r="AJ281" s="69" t="s">
        <v>1132</v>
      </c>
    </row>
    <row r="282" spans="1:36" x14ac:dyDescent="0.25">
      <c r="A282">
        <v>34281</v>
      </c>
      <c r="B282" s="85" t="str">
        <f>VLOOKUP(A282,ADM!$A$1:$R$343,14,0)</f>
        <v>CC Vallée de l'hérault</v>
      </c>
      <c r="C282" t="s">
        <v>967</v>
      </c>
      <c r="D282" s="8" t="s">
        <v>115</v>
      </c>
      <c r="E282" s="4">
        <v>0.127</v>
      </c>
      <c r="I282" s="8">
        <v>0</v>
      </c>
      <c r="J282">
        <v>1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 s="69">
        <v>1245</v>
      </c>
      <c r="AE282" s="69">
        <v>99</v>
      </c>
      <c r="AF282" s="69">
        <v>53</v>
      </c>
      <c r="AG282" s="69">
        <v>46</v>
      </c>
      <c r="AH282" s="69">
        <v>7.9518072289156621</v>
      </c>
      <c r="AI282" s="69">
        <v>4.2570281124497988</v>
      </c>
      <c r="AJ282" s="69">
        <v>3.6947791164658637</v>
      </c>
    </row>
    <row r="283" spans="1:36" x14ac:dyDescent="0.25">
      <c r="A283">
        <v>34282</v>
      </c>
      <c r="B283" s="85" t="str">
        <f>VLOOKUP(A283,ADM!$A$1:$R$343,14,0)</f>
        <v>CC Vallée de l'hérault</v>
      </c>
      <c r="C283" t="s">
        <v>970</v>
      </c>
      <c r="D283" s="8" t="s">
        <v>115</v>
      </c>
      <c r="E283" s="4" t="s">
        <v>1132</v>
      </c>
      <c r="I283" s="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 s="69">
        <v>558</v>
      </c>
      <c r="AE283" s="69">
        <v>30</v>
      </c>
      <c r="AF283" s="69">
        <v>17</v>
      </c>
      <c r="AG283" s="69">
        <v>13</v>
      </c>
      <c r="AH283" s="69">
        <v>5.376344086021505</v>
      </c>
      <c r="AI283" s="69">
        <v>3.0465949820788532</v>
      </c>
      <c r="AJ283" s="69">
        <v>2.3297491039426523</v>
      </c>
    </row>
    <row r="284" spans="1:36" x14ac:dyDescent="0.25">
      <c r="A284">
        <v>34283</v>
      </c>
      <c r="B284" s="85" t="str">
        <f>VLOOKUP(A284,ADM!$A$1:$R$343,14,0)</f>
        <v>CC Lodévois et Larzac</v>
      </c>
      <c r="C284" t="s">
        <v>972</v>
      </c>
      <c r="D284" s="8" t="s">
        <v>115</v>
      </c>
      <c r="E284" s="4" t="s">
        <v>1132</v>
      </c>
      <c r="I284" s="8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 s="69" t="s">
        <v>1132</v>
      </c>
      <c r="AE284" s="69" t="s">
        <v>1132</v>
      </c>
      <c r="AF284" s="69" t="s">
        <v>1132</v>
      </c>
      <c r="AG284" s="69" t="s">
        <v>1132</v>
      </c>
      <c r="AH284" s="69" t="s">
        <v>1132</v>
      </c>
      <c r="AI284" s="69" t="s">
        <v>1132</v>
      </c>
      <c r="AJ284" s="69" t="s">
        <v>1132</v>
      </c>
    </row>
    <row r="285" spans="1:36" x14ac:dyDescent="0.25">
      <c r="A285">
        <v>34284</v>
      </c>
      <c r="B285" s="85" t="str">
        <f>VLOOKUP(A285,ADM!$A$1:$R$343,14,0)</f>
        <v>CC Du Minervois au Caroux en Haut-Languedoc</v>
      </c>
      <c r="C285" t="s">
        <v>974</v>
      </c>
      <c r="D285" s="8" t="s">
        <v>115</v>
      </c>
      <c r="E285" s="4">
        <v>0.19</v>
      </c>
      <c r="I285" s="8">
        <v>0</v>
      </c>
      <c r="J285">
        <v>2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0</v>
      </c>
      <c r="U285">
        <v>0</v>
      </c>
      <c r="V285">
        <v>1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1</v>
      </c>
      <c r="AC285">
        <v>0</v>
      </c>
      <c r="AD285" s="69">
        <v>1432</v>
      </c>
      <c r="AE285" s="69">
        <v>376</v>
      </c>
      <c r="AF285" s="69">
        <v>97</v>
      </c>
      <c r="AG285" s="69">
        <v>279</v>
      </c>
      <c r="AH285" s="69">
        <v>26.256983240223462</v>
      </c>
      <c r="AI285" s="69">
        <v>6.7737430167597772</v>
      </c>
      <c r="AJ285" s="69">
        <v>19.483240223463689</v>
      </c>
    </row>
    <row r="286" spans="1:36" x14ac:dyDescent="0.25">
      <c r="A286">
        <v>34285</v>
      </c>
      <c r="B286" s="85" t="str">
        <f>VLOOKUP(A286,ADM!$A$1:$R$343,14,0)</f>
        <v>CA Hérault-Méditerranée</v>
      </c>
      <c r="C286" t="s">
        <v>978</v>
      </c>
      <c r="D286" s="8" t="s">
        <v>115</v>
      </c>
      <c r="E286" s="4">
        <v>0.17299999999999999</v>
      </c>
      <c r="I286" s="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 s="69">
        <v>425</v>
      </c>
      <c r="AE286" s="69">
        <v>44</v>
      </c>
      <c r="AF286" s="69">
        <v>27</v>
      </c>
      <c r="AG286" s="69">
        <v>17</v>
      </c>
      <c r="AH286" s="69">
        <v>10.352941176470589</v>
      </c>
      <c r="AI286" s="69">
        <v>6.3529411764705879</v>
      </c>
      <c r="AJ286" s="69">
        <v>4</v>
      </c>
    </row>
    <row r="287" spans="1:36" x14ac:dyDescent="0.25">
      <c r="A287">
        <v>34286</v>
      </c>
      <c r="B287" s="85" t="str">
        <f>VLOOKUP(A287,ADM!$A$1:$R$343,14,0)</f>
        <v>CC Lodévois et Larzac</v>
      </c>
      <c r="C287" t="s">
        <v>980</v>
      </c>
      <c r="D287" s="8" t="s">
        <v>115</v>
      </c>
      <c r="E287" s="4">
        <v>0.157</v>
      </c>
      <c r="I287" s="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 s="69">
        <v>329</v>
      </c>
      <c r="AE287" s="69">
        <v>34</v>
      </c>
      <c r="AF287" s="69">
        <v>11</v>
      </c>
      <c r="AG287" s="69">
        <v>23</v>
      </c>
      <c r="AH287" s="69">
        <v>10.334346504559271</v>
      </c>
      <c r="AI287" s="69">
        <v>3.3434650455927049</v>
      </c>
      <c r="AJ287" s="69">
        <v>6.9908814589665651</v>
      </c>
    </row>
    <row r="288" spans="1:36" x14ac:dyDescent="0.25">
      <c r="A288">
        <v>34287</v>
      </c>
      <c r="B288" s="85" t="str">
        <f>VLOOKUP(A288,ADM!$A$1:$R$343,14,0)</f>
        <v>CC Vallée de l'hérault</v>
      </c>
      <c r="C288" t="s">
        <v>982</v>
      </c>
      <c r="D288" s="8" t="s">
        <v>115</v>
      </c>
      <c r="E288" s="4" t="s">
        <v>1132</v>
      </c>
      <c r="I288" s="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 s="69" t="s">
        <v>1132</v>
      </c>
      <c r="AE288" s="69" t="s">
        <v>1132</v>
      </c>
      <c r="AF288" s="69" t="s">
        <v>1132</v>
      </c>
      <c r="AG288" s="69" t="s">
        <v>1132</v>
      </c>
      <c r="AH288" s="69" t="s">
        <v>1132</v>
      </c>
      <c r="AI288" s="69" t="s">
        <v>1132</v>
      </c>
      <c r="AJ288" s="69" t="s">
        <v>1132</v>
      </c>
    </row>
    <row r="289" spans="1:36" x14ac:dyDescent="0.25">
      <c r="A289">
        <v>34288</v>
      </c>
      <c r="B289" s="85" t="str">
        <f>VLOOKUP(A289,ADM!$A$1:$R$343,14,0)</f>
        <v>CC du Pays de Lunel</v>
      </c>
      <c r="C289" t="s">
        <v>984</v>
      </c>
      <c r="D289" s="8" t="s">
        <v>115</v>
      </c>
      <c r="E289" s="4" t="s">
        <v>1132</v>
      </c>
      <c r="I289" s="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</v>
      </c>
      <c r="T289">
        <v>0</v>
      </c>
      <c r="U289">
        <v>0</v>
      </c>
      <c r="V289">
        <v>1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</v>
      </c>
      <c r="AC289">
        <v>0</v>
      </c>
      <c r="AD289" s="69" t="s">
        <v>1132</v>
      </c>
      <c r="AE289" s="69" t="s">
        <v>1132</v>
      </c>
      <c r="AF289" s="69" t="s">
        <v>1132</v>
      </c>
      <c r="AG289" s="69" t="s">
        <v>1132</v>
      </c>
      <c r="AH289" s="69" t="s">
        <v>1132</v>
      </c>
      <c r="AI289" s="69" t="s">
        <v>1132</v>
      </c>
      <c r="AJ289" s="69" t="s">
        <v>1132</v>
      </c>
    </row>
    <row r="290" spans="1:36" x14ac:dyDescent="0.25">
      <c r="A290">
        <v>34289</v>
      </c>
      <c r="B290" s="85" t="str">
        <f>VLOOKUP(A290,ADM!$A$1:$R$343,14,0)</f>
        <v>CA Hérault-Méditerranée</v>
      </c>
      <c r="C290" t="s">
        <v>986</v>
      </c>
      <c r="D290" s="8" t="s">
        <v>115</v>
      </c>
      <c r="E290" s="4">
        <v>0.20799999999999999</v>
      </c>
      <c r="I290" s="8">
        <v>0</v>
      </c>
      <c r="J290">
        <v>0</v>
      </c>
      <c r="K290">
        <v>0</v>
      </c>
      <c r="L290">
        <v>0</v>
      </c>
      <c r="M290">
        <v>1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 s="69">
        <v>1468</v>
      </c>
      <c r="AE290" s="69">
        <v>136</v>
      </c>
      <c r="AF290" s="69">
        <v>96</v>
      </c>
      <c r="AG290" s="69">
        <v>40</v>
      </c>
      <c r="AH290" s="69">
        <v>9.2643051771117158</v>
      </c>
      <c r="AI290" s="69">
        <v>6.5395095367847409</v>
      </c>
      <c r="AJ290" s="69">
        <v>2.7247956403269753</v>
      </c>
    </row>
    <row r="291" spans="1:36" x14ac:dyDescent="0.25">
      <c r="A291">
        <v>34290</v>
      </c>
      <c r="B291" s="85" t="str">
        <f>VLOOKUP(A291,ADM!$A$1:$R$343,14,0)</f>
        <v>CC du Grand Pic Saint-Loup</v>
      </c>
      <c r="C291" t="s">
        <v>989</v>
      </c>
      <c r="D291" s="8" t="s">
        <v>195</v>
      </c>
      <c r="E291" s="4" t="s">
        <v>1132</v>
      </c>
      <c r="I291" s="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 s="69" t="s">
        <v>1132</v>
      </c>
      <c r="AE291" s="69" t="s">
        <v>1132</v>
      </c>
      <c r="AF291" s="69" t="s">
        <v>1132</v>
      </c>
      <c r="AG291" s="69" t="s">
        <v>1132</v>
      </c>
      <c r="AH291" s="69" t="s">
        <v>1132</v>
      </c>
      <c r="AI291" s="69" t="s">
        <v>1132</v>
      </c>
      <c r="AJ291" s="69" t="s">
        <v>1132</v>
      </c>
    </row>
    <row r="292" spans="1:36" x14ac:dyDescent="0.25">
      <c r="A292">
        <v>34291</v>
      </c>
      <c r="B292" s="85" t="str">
        <f>VLOOKUP(A292,ADM!$A$1:$R$343,14,0)</f>
        <v>CC Du Minervois au Caroux en Haut-Languedoc</v>
      </c>
      <c r="C292" t="s">
        <v>991</v>
      </c>
      <c r="D292" s="8" t="s">
        <v>115</v>
      </c>
      <c r="E292" s="4">
        <v>0.22500000000000001</v>
      </c>
      <c r="I292" s="8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 s="69">
        <v>333</v>
      </c>
      <c r="AE292" s="69">
        <v>36</v>
      </c>
      <c r="AF292" s="69">
        <v>11</v>
      </c>
      <c r="AG292" s="69">
        <v>25</v>
      </c>
      <c r="AH292" s="69">
        <v>10.810810810810811</v>
      </c>
      <c r="AI292" s="69">
        <v>3.303303303303303</v>
      </c>
      <c r="AJ292" s="69">
        <v>7.5075075075075075</v>
      </c>
    </row>
    <row r="293" spans="1:36" x14ac:dyDescent="0.25">
      <c r="A293">
        <v>34292</v>
      </c>
      <c r="B293" s="85" t="str">
        <f>VLOOKUP(A293,ADM!$A$1:$R$343,14,0)</f>
        <v>CC du Clermontais</v>
      </c>
      <c r="C293" t="s">
        <v>993</v>
      </c>
      <c r="D293" s="8" t="s">
        <v>115</v>
      </c>
      <c r="E293" s="4">
        <v>0.192</v>
      </c>
      <c r="I293" s="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 s="69" t="s">
        <v>1132</v>
      </c>
      <c r="AE293" s="69" t="s">
        <v>1132</v>
      </c>
      <c r="AF293" s="69" t="s">
        <v>1132</v>
      </c>
      <c r="AG293" s="69" t="s">
        <v>1132</v>
      </c>
      <c r="AH293" s="69" t="s">
        <v>1132</v>
      </c>
      <c r="AI293" s="69" t="s">
        <v>1132</v>
      </c>
      <c r="AJ293" s="69" t="s">
        <v>1132</v>
      </c>
    </row>
    <row r="294" spans="1:36" x14ac:dyDescent="0.25">
      <c r="A294">
        <v>34293</v>
      </c>
      <c r="B294" s="85" t="str">
        <f>VLOOKUP(A294,ADM!$A$1:$R$343,14,0)</f>
        <v>CC des Monts de Lacaune et de la Montagne du Haut Languedoc</v>
      </c>
      <c r="C294" t="s">
        <v>995</v>
      </c>
      <c r="D294" s="8" t="s">
        <v>115</v>
      </c>
      <c r="E294" s="4">
        <v>0.14299999999999999</v>
      </c>
      <c r="I294" s="8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 s="69">
        <v>1491</v>
      </c>
      <c r="AE294" s="69">
        <v>134</v>
      </c>
      <c r="AF294" s="69">
        <v>49</v>
      </c>
      <c r="AG294" s="69">
        <v>85</v>
      </c>
      <c r="AH294" s="69">
        <v>8.9872568745808188</v>
      </c>
      <c r="AI294" s="69">
        <v>3.286384976525822</v>
      </c>
      <c r="AJ294" s="69">
        <v>5.7008718980549968</v>
      </c>
    </row>
    <row r="295" spans="1:36" x14ac:dyDescent="0.25">
      <c r="A295">
        <v>34294</v>
      </c>
      <c r="B295" s="85" t="str">
        <f>VLOOKUP(A295,ADM!$A$1:$R$343,14,0)</f>
        <v>CC du Pays de Lunel</v>
      </c>
      <c r="C295" t="s">
        <v>997</v>
      </c>
      <c r="D295" s="8" t="s">
        <v>115</v>
      </c>
      <c r="E295" s="4">
        <v>5.8000000000000003E-2</v>
      </c>
      <c r="I295" s="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 s="69" t="s">
        <v>1132</v>
      </c>
      <c r="AE295" s="69" t="s">
        <v>1132</v>
      </c>
      <c r="AF295" s="69" t="s">
        <v>1132</v>
      </c>
      <c r="AG295" s="69" t="s">
        <v>1132</v>
      </c>
      <c r="AH295" s="69" t="s">
        <v>1132</v>
      </c>
      <c r="AI295" s="69" t="s">
        <v>1132</v>
      </c>
      <c r="AJ295" s="69" t="s">
        <v>1132</v>
      </c>
    </row>
    <row r="296" spans="1:36" x14ac:dyDescent="0.25">
      <c r="A296">
        <v>34295</v>
      </c>
      <c r="B296" s="85" t="str">
        <f>VLOOKUP(A296,ADM!$A$1:$R$343,14,0)</f>
        <v>Montpellier Méditerranée Métropole</v>
      </c>
      <c r="C296" t="s">
        <v>999</v>
      </c>
      <c r="D296" s="8" t="s">
        <v>195</v>
      </c>
      <c r="E296" s="4" t="s">
        <v>1132</v>
      </c>
      <c r="I296" s="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 s="69" t="s">
        <v>1132</v>
      </c>
      <c r="AE296" s="69" t="s">
        <v>1132</v>
      </c>
      <c r="AF296" s="69" t="s">
        <v>1132</v>
      </c>
      <c r="AG296" s="69" t="s">
        <v>1132</v>
      </c>
      <c r="AH296" s="69" t="s">
        <v>1132</v>
      </c>
      <c r="AI296" s="69" t="s">
        <v>1132</v>
      </c>
      <c r="AJ296" s="69" t="s">
        <v>1132</v>
      </c>
    </row>
    <row r="297" spans="1:36" x14ac:dyDescent="0.25">
      <c r="A297">
        <v>34296</v>
      </c>
      <c r="B297" s="85" t="str">
        <f>VLOOKUP(A297,ADM!$A$1:$R$343,14,0)</f>
        <v>CC du Pays de Lunel</v>
      </c>
      <c r="C297" t="s">
        <v>1002</v>
      </c>
      <c r="D297" s="8" t="s">
        <v>115</v>
      </c>
      <c r="E297" s="4">
        <v>5.8999999999999997E-2</v>
      </c>
      <c r="I297" s="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 s="69" t="s">
        <v>1132</v>
      </c>
      <c r="AE297" s="69" t="s">
        <v>1132</v>
      </c>
      <c r="AF297" s="69" t="s">
        <v>1132</v>
      </c>
      <c r="AG297" s="69" t="s">
        <v>1132</v>
      </c>
      <c r="AH297" s="69" t="s">
        <v>1132</v>
      </c>
      <c r="AI297" s="69" t="s">
        <v>1132</v>
      </c>
      <c r="AJ297" s="69" t="s">
        <v>1132</v>
      </c>
    </row>
    <row r="298" spans="1:36" x14ac:dyDescent="0.25">
      <c r="A298">
        <v>34297</v>
      </c>
      <c r="B298" s="85" t="str">
        <f>VLOOKUP(A298,ADM!$A$1:$R$343,14,0)</f>
        <v>CC du Grand Pic Saint-Loup</v>
      </c>
      <c r="C298" t="s">
        <v>1004</v>
      </c>
      <c r="D298" s="8" t="s">
        <v>115</v>
      </c>
      <c r="E298" s="4" t="s">
        <v>1132</v>
      </c>
      <c r="I298" s="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 s="69" t="s">
        <v>1132</v>
      </c>
      <c r="AE298" s="69" t="s">
        <v>1132</v>
      </c>
      <c r="AF298" s="69" t="s">
        <v>1132</v>
      </c>
      <c r="AG298" s="69" t="s">
        <v>1132</v>
      </c>
      <c r="AH298" s="69" t="s">
        <v>1132</v>
      </c>
      <c r="AI298" s="69" t="s">
        <v>1132</v>
      </c>
      <c r="AJ298" s="69" t="s">
        <v>1132</v>
      </c>
    </row>
    <row r="299" spans="1:36" x14ac:dyDescent="0.25">
      <c r="A299">
        <v>34298</v>
      </c>
      <c r="B299" s="85" t="str">
        <f>VLOOKUP(A299,ADM!$A$1:$R$343,14,0)</f>
        <v>CA de Béziers-Méditerranée</v>
      </c>
      <c r="C299" t="s">
        <v>1006</v>
      </c>
      <c r="D299" s="8" t="s">
        <v>135</v>
      </c>
      <c r="E299" s="4">
        <v>7.2999999999999995E-2</v>
      </c>
      <c r="I299" s="8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1</v>
      </c>
      <c r="S299">
        <v>2</v>
      </c>
      <c r="T299">
        <v>0</v>
      </c>
      <c r="U299">
        <v>0</v>
      </c>
      <c r="V299">
        <v>2</v>
      </c>
      <c r="W299">
        <v>0</v>
      </c>
      <c r="X299">
        <v>0</v>
      </c>
      <c r="Y299">
        <v>2</v>
      </c>
      <c r="Z299">
        <v>0</v>
      </c>
      <c r="AA299">
        <v>0</v>
      </c>
      <c r="AB299">
        <v>0</v>
      </c>
      <c r="AC299">
        <v>0</v>
      </c>
      <c r="AD299" s="69">
        <v>2589</v>
      </c>
      <c r="AE299" s="69">
        <v>106</v>
      </c>
      <c r="AF299" s="69">
        <v>83</v>
      </c>
      <c r="AG299" s="69">
        <v>23</v>
      </c>
      <c r="AH299" s="69">
        <v>4.0942448821938973</v>
      </c>
      <c r="AI299" s="69">
        <v>3.205870992661259</v>
      </c>
      <c r="AJ299" s="69">
        <v>0.88837388953263807</v>
      </c>
    </row>
    <row r="300" spans="1:36" x14ac:dyDescent="0.25">
      <c r="A300">
        <v>34299</v>
      </c>
      <c r="B300" s="85" t="str">
        <f>VLOOKUP(A300,ADM!$A$1:$R$343,14,0)</f>
        <v>CA de Béziers-Méditerranée</v>
      </c>
      <c r="C300" t="s">
        <v>1011</v>
      </c>
      <c r="D300" s="8" t="s">
        <v>135</v>
      </c>
      <c r="E300" s="4">
        <v>0.11899999999999999</v>
      </c>
      <c r="I300" s="8">
        <v>0</v>
      </c>
      <c r="J300">
        <v>2</v>
      </c>
      <c r="K300">
        <v>0</v>
      </c>
      <c r="L300">
        <v>0</v>
      </c>
      <c r="M300">
        <v>0</v>
      </c>
      <c r="N300">
        <v>0</v>
      </c>
      <c r="O300">
        <v>5</v>
      </c>
      <c r="P300">
        <v>3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1</v>
      </c>
      <c r="W300">
        <v>0</v>
      </c>
      <c r="X300">
        <v>0</v>
      </c>
      <c r="Y300">
        <v>1</v>
      </c>
      <c r="Z300">
        <v>0</v>
      </c>
      <c r="AA300">
        <v>0</v>
      </c>
      <c r="AB300">
        <v>0</v>
      </c>
      <c r="AC300">
        <v>0</v>
      </c>
      <c r="AD300" s="69">
        <v>5276</v>
      </c>
      <c r="AE300" s="69">
        <v>422</v>
      </c>
      <c r="AF300" s="69">
        <v>306</v>
      </c>
      <c r="AG300" s="69">
        <v>116</v>
      </c>
      <c r="AH300" s="69">
        <v>7.9984836997725548</v>
      </c>
      <c r="AI300" s="69">
        <v>5.7998483699772558</v>
      </c>
      <c r="AJ300" s="69">
        <v>2.1986353297952994</v>
      </c>
    </row>
    <row r="301" spans="1:36" x14ac:dyDescent="0.25">
      <c r="A301">
        <v>34300</v>
      </c>
      <c r="B301" s="85" t="str">
        <f>VLOOKUP(A301,ADM!$A$1:$R$343,14,0)</f>
        <v>CA de Béziers-Méditerranée</v>
      </c>
      <c r="C301" t="s">
        <v>1015</v>
      </c>
      <c r="D301" s="8" t="s">
        <v>115</v>
      </c>
      <c r="E301" s="4">
        <v>0.14399999999999999</v>
      </c>
      <c r="I301" s="8">
        <v>0</v>
      </c>
      <c r="J301">
        <v>0</v>
      </c>
      <c r="K301">
        <v>0</v>
      </c>
      <c r="L301">
        <v>1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 s="69">
        <v>2493</v>
      </c>
      <c r="AE301" s="69">
        <v>199</v>
      </c>
      <c r="AF301" s="69">
        <v>116</v>
      </c>
      <c r="AG301" s="69">
        <v>83</v>
      </c>
      <c r="AH301" s="69">
        <v>7.9823505816285598</v>
      </c>
      <c r="AI301" s="69">
        <v>4.6530284797432815</v>
      </c>
      <c r="AJ301" s="69">
        <v>3.3293221018852783</v>
      </c>
    </row>
    <row r="302" spans="1:36" x14ac:dyDescent="0.25">
      <c r="A302">
        <v>34301</v>
      </c>
      <c r="B302" s="85" t="str">
        <f>VLOOKUP(A302,ADM!$A$1:$R$343,14,0)</f>
        <v>Sète Agglopôle Méditerranée</v>
      </c>
      <c r="C302" t="s">
        <v>1020</v>
      </c>
      <c r="D302" s="8" t="s">
        <v>135</v>
      </c>
      <c r="E302" s="4">
        <v>0.124</v>
      </c>
      <c r="I302" s="8">
        <v>7</v>
      </c>
      <c r="J302">
        <v>20</v>
      </c>
      <c r="K302">
        <v>0</v>
      </c>
      <c r="L302">
        <v>0</v>
      </c>
      <c r="M302">
        <v>6</v>
      </c>
      <c r="N302">
        <v>6</v>
      </c>
      <c r="O302">
        <v>0</v>
      </c>
      <c r="P302">
        <v>15</v>
      </c>
      <c r="Q302">
        <v>0</v>
      </c>
      <c r="R302">
        <v>5</v>
      </c>
      <c r="S302">
        <v>11</v>
      </c>
      <c r="T302">
        <v>1</v>
      </c>
      <c r="U302">
        <v>4</v>
      </c>
      <c r="V302">
        <v>17</v>
      </c>
      <c r="W302">
        <v>6</v>
      </c>
      <c r="X302">
        <v>0</v>
      </c>
      <c r="Y302">
        <v>0</v>
      </c>
      <c r="Z302">
        <v>0</v>
      </c>
      <c r="AA302">
        <v>4</v>
      </c>
      <c r="AB302">
        <v>17</v>
      </c>
      <c r="AC302">
        <v>6</v>
      </c>
      <c r="AD302" s="69">
        <v>29758</v>
      </c>
      <c r="AE302" s="69">
        <v>2844</v>
      </c>
      <c r="AF302" s="69">
        <v>2112</v>
      </c>
      <c r="AG302" s="69">
        <v>732</v>
      </c>
      <c r="AH302" s="69">
        <v>9.5570938907184626</v>
      </c>
      <c r="AI302" s="69">
        <v>7.0972511593521066</v>
      </c>
      <c r="AJ302" s="69">
        <v>2.4598427313663551</v>
      </c>
    </row>
    <row r="303" spans="1:36" x14ac:dyDescent="0.25">
      <c r="A303">
        <v>34302</v>
      </c>
      <c r="B303" s="85" t="str">
        <f>VLOOKUP(A303,ADM!$A$1:$R$343,14,0)</f>
        <v>CC Du Minervois au Caroux en Haut-Languedoc</v>
      </c>
      <c r="C303" t="s">
        <v>1027</v>
      </c>
      <c r="D303" s="8" t="s">
        <v>115</v>
      </c>
      <c r="E303" s="4">
        <v>0.13800000000000001</v>
      </c>
      <c r="I303" s="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 s="69">
        <v>569</v>
      </c>
      <c r="AE303" s="69">
        <v>73</v>
      </c>
      <c r="AF303" s="69">
        <v>18</v>
      </c>
      <c r="AG303" s="69">
        <v>55</v>
      </c>
      <c r="AH303" s="69">
        <v>12.829525483304041</v>
      </c>
      <c r="AI303" s="69">
        <v>3.1634446397188052</v>
      </c>
      <c r="AJ303" s="69">
        <v>9.6660808435852363</v>
      </c>
    </row>
    <row r="304" spans="1:36" x14ac:dyDescent="0.25">
      <c r="A304">
        <v>34303</v>
      </c>
      <c r="B304" s="85" t="str">
        <f>VLOOKUP(A304,ADM!$A$1:$R$343,14,0)</f>
        <v>CC Lodévois et Larzac</v>
      </c>
      <c r="C304" t="s">
        <v>1029</v>
      </c>
      <c r="D304" s="8" t="s">
        <v>115</v>
      </c>
      <c r="E304" s="4" t="s">
        <v>1132</v>
      </c>
      <c r="I304" s="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 s="69" t="s">
        <v>1132</v>
      </c>
      <c r="AE304" s="69" t="s">
        <v>1132</v>
      </c>
      <c r="AF304" s="69" t="s">
        <v>1132</v>
      </c>
      <c r="AG304" s="69" t="s">
        <v>1132</v>
      </c>
      <c r="AH304" s="69" t="s">
        <v>1132</v>
      </c>
      <c r="AI304" s="69" t="s">
        <v>1132</v>
      </c>
      <c r="AJ304" s="69" t="s">
        <v>1132</v>
      </c>
    </row>
    <row r="305" spans="1:36" x14ac:dyDescent="0.25">
      <c r="A305">
        <v>34304</v>
      </c>
      <c r="B305" s="85" t="str">
        <f>VLOOKUP(A305,ADM!$A$1:$R$343,14,0)</f>
        <v>CC Lodévois et Larzac</v>
      </c>
      <c r="C305" t="s">
        <v>1031</v>
      </c>
      <c r="D305" s="8" t="s">
        <v>115</v>
      </c>
      <c r="E305" s="4">
        <v>0.111</v>
      </c>
      <c r="I305" s="8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 s="69">
        <v>571</v>
      </c>
      <c r="AE305" s="69">
        <v>48</v>
      </c>
      <c r="AF305" s="69">
        <v>34</v>
      </c>
      <c r="AG305" s="69">
        <v>14</v>
      </c>
      <c r="AH305" s="69">
        <v>8.4063047285464094</v>
      </c>
      <c r="AI305" s="69">
        <v>5.9544658493870406</v>
      </c>
      <c r="AJ305" s="69">
        <v>2.4518388791593697</v>
      </c>
    </row>
    <row r="306" spans="1:36" x14ac:dyDescent="0.25">
      <c r="A306">
        <v>34305</v>
      </c>
      <c r="B306" s="85" t="str">
        <f>VLOOKUP(A306,ADM!$A$1:$R$343,14,0)</f>
        <v>CC des Monts de Lacaune et de la Montagne du Haut Languedoc</v>
      </c>
      <c r="C306" t="s">
        <v>1033</v>
      </c>
      <c r="D306" s="8" t="s">
        <v>115</v>
      </c>
      <c r="E306" s="4" t="s">
        <v>1132</v>
      </c>
      <c r="I306" s="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 s="69">
        <v>273</v>
      </c>
      <c r="AE306" s="69">
        <v>35</v>
      </c>
      <c r="AF306" s="69">
        <v>14</v>
      </c>
      <c r="AG306" s="69">
        <v>21</v>
      </c>
      <c r="AH306" s="69">
        <v>12.820512820512819</v>
      </c>
      <c r="AI306" s="69">
        <v>5.1282051282051277</v>
      </c>
      <c r="AJ306" s="69">
        <v>7.6923076923076925</v>
      </c>
    </row>
    <row r="307" spans="1:36" x14ac:dyDescent="0.25">
      <c r="A307">
        <v>34306</v>
      </c>
      <c r="B307" s="85" t="str">
        <f>VLOOKUP(A307,ADM!$A$1:$R$343,14,0)</f>
        <v>CC Lodévois et Larzac</v>
      </c>
      <c r="C307" t="s">
        <v>1035</v>
      </c>
      <c r="D307" s="8" t="s">
        <v>115</v>
      </c>
      <c r="E307" s="4">
        <v>0.253</v>
      </c>
      <c r="I307" s="8">
        <v>0</v>
      </c>
      <c r="J307">
        <v>0</v>
      </c>
      <c r="K307">
        <v>0</v>
      </c>
      <c r="L307">
        <v>0</v>
      </c>
      <c r="M307">
        <v>1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 s="69" t="s">
        <v>1132</v>
      </c>
      <c r="AE307" s="69" t="s">
        <v>1132</v>
      </c>
      <c r="AF307" s="69" t="s">
        <v>1132</v>
      </c>
      <c r="AG307" s="69" t="s">
        <v>1132</v>
      </c>
      <c r="AH307" s="69" t="s">
        <v>1132</v>
      </c>
      <c r="AI307" s="69" t="s">
        <v>1132</v>
      </c>
      <c r="AJ307" s="69" t="s">
        <v>1132</v>
      </c>
    </row>
    <row r="308" spans="1:36" x14ac:dyDescent="0.25">
      <c r="A308">
        <v>34307</v>
      </c>
      <c r="B308" s="85" t="str">
        <f>VLOOKUP(A308,ADM!$A$1:$R$343,14,0)</f>
        <v>Montpellier Méditerranée Métropole</v>
      </c>
      <c r="C308" t="s">
        <v>1037</v>
      </c>
      <c r="D308" s="8" t="s">
        <v>135</v>
      </c>
      <c r="E308" s="4">
        <v>3.5000000000000003E-2</v>
      </c>
      <c r="I308" s="8">
        <v>0</v>
      </c>
      <c r="J308">
        <v>0</v>
      </c>
      <c r="K308">
        <v>0</v>
      </c>
      <c r="L308">
        <v>1</v>
      </c>
      <c r="M308">
        <v>1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 s="69">
        <v>1194</v>
      </c>
      <c r="AE308" s="69">
        <v>58</v>
      </c>
      <c r="AF308" s="69">
        <v>45</v>
      </c>
      <c r="AG308" s="69">
        <v>13</v>
      </c>
      <c r="AH308" s="69">
        <v>4.857621440536013</v>
      </c>
      <c r="AI308" s="69">
        <v>3.7688442211055273</v>
      </c>
      <c r="AJ308" s="69">
        <v>1.0887772194304857</v>
      </c>
    </row>
    <row r="309" spans="1:36" x14ac:dyDescent="0.25">
      <c r="A309">
        <v>34308</v>
      </c>
      <c r="B309" s="85" t="str">
        <f>VLOOKUP(A309,ADM!$A$1:$R$343,14,0)</f>
        <v>CC Grand Orb en Languedoc</v>
      </c>
      <c r="C309" t="s">
        <v>1039</v>
      </c>
      <c r="D309" s="8" t="s">
        <v>115</v>
      </c>
      <c r="E309" s="4">
        <v>0.126</v>
      </c>
      <c r="I309" s="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 s="69">
        <v>330</v>
      </c>
      <c r="AE309" s="69">
        <v>28</v>
      </c>
      <c r="AF309" s="69">
        <v>16</v>
      </c>
      <c r="AG309" s="69">
        <v>12</v>
      </c>
      <c r="AH309" s="69">
        <v>8.4848484848484862</v>
      </c>
      <c r="AI309" s="69">
        <v>4.8484848484848486</v>
      </c>
      <c r="AJ309" s="69">
        <v>3.6363636363636362</v>
      </c>
    </row>
    <row r="310" spans="1:36" x14ac:dyDescent="0.25">
      <c r="A310">
        <v>34309</v>
      </c>
      <c r="B310" s="85" t="str">
        <f>VLOOKUP(A310,ADM!$A$1:$R$343,14,0)</f>
        <v>CC du Grand Pic Saint-Loup</v>
      </c>
      <c r="C310" t="s">
        <v>1041</v>
      </c>
      <c r="D310" s="8" t="s">
        <v>195</v>
      </c>
      <c r="E310" s="4">
        <v>1.4E-2</v>
      </c>
      <c r="I310" s="8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 s="69">
        <v>1997</v>
      </c>
      <c r="AE310" s="69">
        <v>86</v>
      </c>
      <c r="AF310" s="69">
        <v>72</v>
      </c>
      <c r="AG310" s="69">
        <v>14</v>
      </c>
      <c r="AH310" s="69">
        <v>4.306459689534301</v>
      </c>
      <c r="AI310" s="69">
        <v>3.6054081121682526</v>
      </c>
      <c r="AJ310" s="69">
        <v>0.70105157736604906</v>
      </c>
    </row>
    <row r="311" spans="1:36" x14ac:dyDescent="0.25">
      <c r="A311">
        <v>34310</v>
      </c>
      <c r="B311" s="85" t="str">
        <f>VLOOKUP(A311,ADM!$A$1:$R$343,14,0)</f>
        <v>CC les Avant-Monts</v>
      </c>
      <c r="C311" t="s">
        <v>1045</v>
      </c>
      <c r="D311" s="8" t="s">
        <v>115</v>
      </c>
      <c r="E311" s="4">
        <v>0.111</v>
      </c>
      <c r="I311" s="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0</v>
      </c>
      <c r="X311">
        <v>0</v>
      </c>
      <c r="Y311">
        <v>1</v>
      </c>
      <c r="Z311">
        <v>0</v>
      </c>
      <c r="AA311">
        <v>0</v>
      </c>
      <c r="AB311">
        <v>0</v>
      </c>
      <c r="AC311">
        <v>0</v>
      </c>
      <c r="AD311" s="69">
        <v>1550</v>
      </c>
      <c r="AE311" s="69">
        <v>101</v>
      </c>
      <c r="AF311" s="69">
        <v>60</v>
      </c>
      <c r="AG311" s="69">
        <v>41</v>
      </c>
      <c r="AH311" s="69">
        <v>6.5161290322580641</v>
      </c>
      <c r="AI311" s="69">
        <v>3.870967741935484</v>
      </c>
      <c r="AJ311" s="69">
        <v>2.6451612903225805</v>
      </c>
    </row>
    <row r="312" spans="1:36" x14ac:dyDescent="0.25">
      <c r="A312">
        <v>34311</v>
      </c>
      <c r="B312" s="85" t="str">
        <f>VLOOKUP(A312,ADM!$A$1:$R$343,14,0)</f>
        <v>CA Hérault-Méditerranée</v>
      </c>
      <c r="C312" t="s">
        <v>1047</v>
      </c>
      <c r="D312" s="8" t="s">
        <v>115</v>
      </c>
      <c r="E312" s="4">
        <v>0.107</v>
      </c>
      <c r="I312" s="8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 s="69">
        <v>972</v>
      </c>
      <c r="AE312" s="69">
        <v>73</v>
      </c>
      <c r="AF312" s="69">
        <v>45</v>
      </c>
      <c r="AG312" s="69">
        <v>28</v>
      </c>
      <c r="AH312" s="69">
        <v>7.5102880658436222</v>
      </c>
      <c r="AI312" s="69">
        <v>4.6296296296296298</v>
      </c>
      <c r="AJ312" s="69">
        <v>2.880658436213992</v>
      </c>
    </row>
    <row r="313" spans="1:36" x14ac:dyDescent="0.25">
      <c r="A313">
        <v>34312</v>
      </c>
      <c r="B313" s="85" t="str">
        <f>VLOOKUP(A313,ADM!$A$1:$R$343,14,0)</f>
        <v>CC Grand Orb en Languedoc</v>
      </c>
      <c r="C313" t="s">
        <v>1050</v>
      </c>
      <c r="D313" s="8" t="s">
        <v>115</v>
      </c>
      <c r="E313" s="4">
        <v>9.7000000000000003E-2</v>
      </c>
      <c r="I313" s="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 s="69">
        <v>906</v>
      </c>
      <c r="AE313" s="69">
        <v>73</v>
      </c>
      <c r="AF313" s="69">
        <v>38</v>
      </c>
      <c r="AG313" s="69">
        <v>35</v>
      </c>
      <c r="AH313" s="69">
        <v>8.0573951434878577</v>
      </c>
      <c r="AI313" s="69">
        <v>4.1942604856512142</v>
      </c>
      <c r="AJ313" s="69">
        <v>3.8631346578366448</v>
      </c>
    </row>
    <row r="314" spans="1:36" x14ac:dyDescent="0.25">
      <c r="A314">
        <v>34313</v>
      </c>
      <c r="B314" s="85" t="str">
        <f>VLOOKUP(A314,ADM!$A$1:$R$343,14,0)</f>
        <v>CC Vallée de l'hérault</v>
      </c>
      <c r="C314" t="s">
        <v>1052</v>
      </c>
      <c r="D314" s="8" t="s">
        <v>115</v>
      </c>
      <c r="E314" s="4">
        <v>0.151</v>
      </c>
      <c r="I314" s="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6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 s="69">
        <v>387</v>
      </c>
      <c r="AE314" s="69">
        <v>28</v>
      </c>
      <c r="AF314" s="69">
        <v>15</v>
      </c>
      <c r="AG314" s="69">
        <v>13</v>
      </c>
      <c r="AH314" s="69">
        <v>7.2351421188630489</v>
      </c>
      <c r="AI314" s="69">
        <v>3.8759689922480618</v>
      </c>
      <c r="AJ314" s="69">
        <v>3.3591731266149871</v>
      </c>
    </row>
    <row r="315" spans="1:36" x14ac:dyDescent="0.25">
      <c r="A315">
        <v>34314</v>
      </c>
      <c r="B315" s="85" t="str">
        <f>VLOOKUP(A315,ADM!$A$1:$R$343,14,0)</f>
        <v>CC du Grand Pic Saint-Loup</v>
      </c>
      <c r="C315" t="s">
        <v>1054</v>
      </c>
      <c r="D315" s="8" t="s">
        <v>115</v>
      </c>
      <c r="E315" s="4" t="s">
        <v>1132</v>
      </c>
      <c r="I315" s="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 s="69" t="s">
        <v>1132</v>
      </c>
      <c r="AE315" s="69" t="s">
        <v>1132</v>
      </c>
      <c r="AF315" s="69" t="s">
        <v>1132</v>
      </c>
      <c r="AG315" s="69" t="s">
        <v>1132</v>
      </c>
      <c r="AH315" s="69" t="s">
        <v>1132</v>
      </c>
      <c r="AI315" s="69" t="s">
        <v>1132</v>
      </c>
      <c r="AJ315" s="69" t="s">
        <v>1132</v>
      </c>
    </row>
    <row r="316" spans="1:36" x14ac:dyDescent="0.25">
      <c r="A316">
        <v>34315</v>
      </c>
      <c r="B316" s="85" t="str">
        <f>VLOOKUP(A316,ADM!$A$1:$R$343,14,0)</f>
        <v>CC du Clermontais</v>
      </c>
      <c r="C316" t="s">
        <v>1056</v>
      </c>
      <c r="D316" s="8" t="s">
        <v>115</v>
      </c>
      <c r="E316" s="4">
        <v>0.11700000000000001</v>
      </c>
      <c r="I316" s="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 s="69" t="s">
        <v>1132</v>
      </c>
      <c r="AE316" s="69" t="s">
        <v>1132</v>
      </c>
      <c r="AF316" s="69" t="s">
        <v>1132</v>
      </c>
      <c r="AG316" s="69" t="s">
        <v>1132</v>
      </c>
      <c r="AH316" s="69" t="s">
        <v>1132</v>
      </c>
      <c r="AI316" s="69" t="s">
        <v>1132</v>
      </c>
      <c r="AJ316" s="69" t="s">
        <v>1132</v>
      </c>
    </row>
    <row r="317" spans="1:36" x14ac:dyDescent="0.25">
      <c r="A317">
        <v>34316</v>
      </c>
      <c r="B317" s="85" t="str">
        <f>VLOOKUP(A317,ADM!$A$1:$R$343,14,0)</f>
        <v>CC Lodévois et Larzac</v>
      </c>
      <c r="C317" t="s">
        <v>1058</v>
      </c>
      <c r="D317" s="8" t="s">
        <v>115</v>
      </c>
      <c r="E317" s="4" t="s">
        <v>1132</v>
      </c>
      <c r="I317" s="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 s="69" t="s">
        <v>1132</v>
      </c>
      <c r="AE317" s="69" t="s">
        <v>1132</v>
      </c>
      <c r="AF317" s="69" t="s">
        <v>1132</v>
      </c>
      <c r="AG317" s="69" t="s">
        <v>1132</v>
      </c>
      <c r="AH317" s="69" t="s">
        <v>1132</v>
      </c>
      <c r="AI317" s="69" t="s">
        <v>1132</v>
      </c>
      <c r="AJ317" s="69" t="s">
        <v>1132</v>
      </c>
    </row>
    <row r="318" spans="1:36" x14ac:dyDescent="0.25">
      <c r="A318">
        <v>34317</v>
      </c>
      <c r="B318" s="85" t="str">
        <f>VLOOKUP(A318,ADM!$A$1:$R$343,14,0)</f>
        <v>CC Lodévois et Larzac</v>
      </c>
      <c r="C318" t="s">
        <v>1060</v>
      </c>
      <c r="D318" s="8" t="s">
        <v>115</v>
      </c>
      <c r="E318" s="4">
        <v>0.25900000000000001</v>
      </c>
      <c r="I318" s="8">
        <v>0</v>
      </c>
      <c r="J318">
        <v>0</v>
      </c>
      <c r="K318">
        <v>0</v>
      </c>
      <c r="L318">
        <v>0</v>
      </c>
      <c r="M318">
        <v>1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 s="69">
        <v>182</v>
      </c>
      <c r="AE318" s="69">
        <v>26</v>
      </c>
      <c r="AF318" s="69">
        <v>13</v>
      </c>
      <c r="AG318" s="69">
        <v>13</v>
      </c>
      <c r="AH318" s="69">
        <v>14.285714285714285</v>
      </c>
      <c r="AI318" s="69">
        <v>7.1428571428571423</v>
      </c>
      <c r="AJ318" s="69">
        <v>7.1428571428571423</v>
      </c>
    </row>
    <row r="319" spans="1:36" x14ac:dyDescent="0.25">
      <c r="A319">
        <v>34318</v>
      </c>
      <c r="B319" s="85" t="str">
        <f>VLOOKUP(A319,ADM!$A$1:$R$343,14,0)</f>
        <v>CC du Grand Pic Saint-Loup</v>
      </c>
      <c r="C319" t="s">
        <v>1062</v>
      </c>
      <c r="D319" s="8" t="s">
        <v>115</v>
      </c>
      <c r="E319" s="4">
        <v>0.14699999999999999</v>
      </c>
      <c r="I319" s="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 s="69">
        <v>526</v>
      </c>
      <c r="AE319" s="69">
        <v>67</v>
      </c>
      <c r="AF319" s="69">
        <v>31</v>
      </c>
      <c r="AG319" s="69">
        <v>36</v>
      </c>
      <c r="AH319" s="69">
        <v>12.737642585551331</v>
      </c>
      <c r="AI319" s="69">
        <v>5.8935361216730033</v>
      </c>
      <c r="AJ319" s="69">
        <v>6.8441064638783269</v>
      </c>
    </row>
    <row r="320" spans="1:36" x14ac:dyDescent="0.25">
      <c r="A320">
        <v>34319</v>
      </c>
      <c r="B320" s="85" t="str">
        <f>VLOOKUP(A320,ADM!$A$1:$R$343,14,0)</f>
        <v>CC les Avant-Monts</v>
      </c>
      <c r="C320" t="s">
        <v>1064</v>
      </c>
      <c r="D320" s="8" t="s">
        <v>115</v>
      </c>
      <c r="E320" s="4" t="s">
        <v>1132</v>
      </c>
      <c r="I320" s="8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 s="69" t="s">
        <v>1132</v>
      </c>
      <c r="AE320" s="69" t="s">
        <v>1132</v>
      </c>
      <c r="AF320" s="69" t="s">
        <v>1132</v>
      </c>
      <c r="AG320" s="69" t="s">
        <v>1132</v>
      </c>
      <c r="AH320" s="69" t="s">
        <v>1132</v>
      </c>
      <c r="AI320" s="69" t="s">
        <v>1132</v>
      </c>
      <c r="AJ320" s="69" t="s">
        <v>1132</v>
      </c>
    </row>
    <row r="321" spans="1:36" x14ac:dyDescent="0.25">
      <c r="A321">
        <v>34320</v>
      </c>
      <c r="B321" s="85" t="str">
        <f>VLOOKUP(A321,ADM!$A$1:$R$343,14,0)</f>
        <v>CC du Grand Pic Saint-Loup</v>
      </c>
      <c r="C321" t="s">
        <v>1066</v>
      </c>
      <c r="D321" s="8" t="s">
        <v>115</v>
      </c>
      <c r="E321" s="4" t="s">
        <v>1132</v>
      </c>
      <c r="I321" s="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 s="69">
        <v>1024</v>
      </c>
      <c r="AE321" s="69">
        <v>57</v>
      </c>
      <c r="AF321" s="69">
        <v>31</v>
      </c>
      <c r="AG321" s="69">
        <v>26</v>
      </c>
      <c r="AH321" s="69">
        <v>5.56640625</v>
      </c>
      <c r="AI321" s="69">
        <v>3.02734375</v>
      </c>
      <c r="AJ321" s="69">
        <v>2.5390625</v>
      </c>
    </row>
    <row r="322" spans="1:36" x14ac:dyDescent="0.25">
      <c r="A322">
        <v>34321</v>
      </c>
      <c r="B322" s="85" t="str">
        <f>VLOOKUP(A322,ADM!$A$1:$R$343,14,0)</f>
        <v>CA du Pays de l'Or</v>
      </c>
      <c r="C322" t="s">
        <v>1068</v>
      </c>
      <c r="D322" s="8" t="s">
        <v>243</v>
      </c>
      <c r="E322" s="4">
        <v>3.4000000000000002E-2</v>
      </c>
      <c r="I322" s="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 s="69" t="s">
        <v>1132</v>
      </c>
      <c r="AE322" s="69" t="s">
        <v>1132</v>
      </c>
      <c r="AF322" s="69" t="s">
        <v>1132</v>
      </c>
      <c r="AG322" s="69" t="s">
        <v>1132</v>
      </c>
      <c r="AH322" s="69" t="s">
        <v>1132</v>
      </c>
      <c r="AI322" s="69" t="s">
        <v>1132</v>
      </c>
      <c r="AJ322" s="69" t="s">
        <v>1132</v>
      </c>
    </row>
    <row r="323" spans="1:36" x14ac:dyDescent="0.25">
      <c r="A323">
        <v>34322</v>
      </c>
      <c r="B323" s="85" t="str">
        <f>VLOOKUP(A323,ADM!$A$1:$R$343,14,0)</f>
        <v>CC du Grand Pic Saint-Loup</v>
      </c>
      <c r="C323" t="s">
        <v>1070</v>
      </c>
      <c r="D323" s="8" t="s">
        <v>115</v>
      </c>
      <c r="E323" s="4" t="s">
        <v>1132</v>
      </c>
      <c r="I323" s="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 s="69" t="s">
        <v>1132</v>
      </c>
      <c r="AE323" s="69" t="s">
        <v>1132</v>
      </c>
      <c r="AF323" s="69" t="s">
        <v>1132</v>
      </c>
      <c r="AG323" s="69" t="s">
        <v>1132</v>
      </c>
      <c r="AH323" s="69" t="s">
        <v>1132</v>
      </c>
      <c r="AI323" s="69" t="s">
        <v>1132</v>
      </c>
      <c r="AJ323" s="69" t="s">
        <v>1132</v>
      </c>
    </row>
    <row r="324" spans="1:36" x14ac:dyDescent="0.25">
      <c r="A324">
        <v>34323</v>
      </c>
      <c r="B324" s="85" t="str">
        <f>VLOOKUP(A324,ADM!$A$1:$R$343,14,0)</f>
        <v>CC du Clermontais</v>
      </c>
      <c r="C324" t="s">
        <v>1072</v>
      </c>
      <c r="D324" s="8" t="s">
        <v>115</v>
      </c>
      <c r="E324" s="4" t="s">
        <v>1132</v>
      </c>
      <c r="I324" s="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 s="69" t="s">
        <v>1132</v>
      </c>
      <c r="AE324" s="69" t="s">
        <v>1132</v>
      </c>
      <c r="AF324" s="69" t="s">
        <v>1132</v>
      </c>
      <c r="AG324" s="69" t="s">
        <v>1132</v>
      </c>
      <c r="AH324" s="69" t="s">
        <v>1132</v>
      </c>
      <c r="AI324" s="69" t="s">
        <v>1132</v>
      </c>
      <c r="AJ324" s="69" t="s">
        <v>1132</v>
      </c>
    </row>
    <row r="325" spans="1:36" x14ac:dyDescent="0.25">
      <c r="A325">
        <v>34324</v>
      </c>
      <c r="B325" s="85" t="str">
        <f>VLOOKUP(A325,ADM!$A$1:$R$343,14,0)</f>
        <v>CA de Béziers-Méditerranée</v>
      </c>
      <c r="C325" t="s">
        <v>1074</v>
      </c>
      <c r="D325" s="8" t="s">
        <v>243</v>
      </c>
      <c r="E325" s="4">
        <v>7.6999999999999999E-2</v>
      </c>
      <c r="I325" s="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 s="69">
        <v>9384</v>
      </c>
      <c r="AE325" s="69">
        <v>524</v>
      </c>
      <c r="AF325" s="69">
        <v>346</v>
      </c>
      <c r="AG325" s="69">
        <v>178</v>
      </c>
      <c r="AH325" s="69">
        <v>5.5839727195225919</v>
      </c>
      <c r="AI325" s="69">
        <v>3.6871270247229324</v>
      </c>
      <c r="AJ325" s="69">
        <v>1.8968456947996588</v>
      </c>
    </row>
    <row r="326" spans="1:36" x14ac:dyDescent="0.25">
      <c r="A326">
        <v>34325</v>
      </c>
      <c r="B326" s="85" t="str">
        <f>VLOOKUP(A326,ADM!$A$1:$R$343,14,0)</f>
        <v>CA de Béziers-Méditerranée</v>
      </c>
      <c r="C326" t="s">
        <v>1079</v>
      </c>
      <c r="D326" s="8" t="s">
        <v>115</v>
      </c>
      <c r="E326" s="4">
        <v>9.9000000000000005E-2</v>
      </c>
      <c r="I326" s="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 s="69">
        <v>876</v>
      </c>
      <c r="AE326" s="69">
        <v>64</v>
      </c>
      <c r="AF326" s="69">
        <v>42</v>
      </c>
      <c r="AG326" s="69">
        <v>22</v>
      </c>
      <c r="AH326" s="69">
        <v>7.3059360730593603</v>
      </c>
      <c r="AI326" s="69">
        <v>4.7945205479452051</v>
      </c>
      <c r="AJ326" s="69">
        <v>2.5114155251141552</v>
      </c>
    </row>
    <row r="327" spans="1:36" x14ac:dyDescent="0.25">
      <c r="A327">
        <v>34326</v>
      </c>
      <c r="B327" s="85" t="str">
        <f>VLOOKUP(A327,ADM!$A$1:$R$343,14,0)</f>
        <v>CC Du Minervois au Caroux en Haut-Languedoc</v>
      </c>
      <c r="C327" t="s">
        <v>1081</v>
      </c>
      <c r="D327" s="8" t="s">
        <v>115</v>
      </c>
      <c r="E327" s="4" t="s">
        <v>1132</v>
      </c>
      <c r="I327" s="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 s="69" t="s">
        <v>1132</v>
      </c>
      <c r="AE327" s="69" t="s">
        <v>1132</v>
      </c>
      <c r="AF327" s="69" t="s">
        <v>1132</v>
      </c>
      <c r="AG327" s="69" t="s">
        <v>1132</v>
      </c>
      <c r="AH327" s="69" t="s">
        <v>1132</v>
      </c>
      <c r="AI327" s="69" t="s">
        <v>1132</v>
      </c>
      <c r="AJ327" s="69" t="s">
        <v>1132</v>
      </c>
    </row>
    <row r="328" spans="1:36" x14ac:dyDescent="0.25">
      <c r="A328">
        <v>34327</v>
      </c>
      <c r="B328" s="85" t="str">
        <f>VLOOKUP(A328,ADM!$A$1:$R$343,14,0)</f>
        <v>Montpellier Méditerranée Métropole</v>
      </c>
      <c r="C328" t="s">
        <v>1083</v>
      </c>
      <c r="D328" s="8" t="s">
        <v>195</v>
      </c>
      <c r="E328" s="4">
        <v>2.5999999999999999E-2</v>
      </c>
      <c r="I328" s="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 s="69">
        <v>2855</v>
      </c>
      <c r="AE328" s="69">
        <v>176</v>
      </c>
      <c r="AF328" s="69">
        <v>151</v>
      </c>
      <c r="AG328" s="69">
        <v>25</v>
      </c>
      <c r="AH328" s="69">
        <v>6.164623467600701</v>
      </c>
      <c r="AI328" s="69">
        <v>5.2889667250437835</v>
      </c>
      <c r="AJ328" s="69">
        <v>0.87565674255691772</v>
      </c>
    </row>
    <row r="329" spans="1:36" x14ac:dyDescent="0.25">
      <c r="A329">
        <v>34328</v>
      </c>
      <c r="B329" s="85" t="str">
        <f>VLOOKUP(A329,ADM!$A$1:$R$343,14,0)</f>
        <v>CC Vallée de l'hérault</v>
      </c>
      <c r="C329" t="s">
        <v>1088</v>
      </c>
      <c r="D329" s="8" t="s">
        <v>115</v>
      </c>
      <c r="E329" s="4">
        <v>0.126</v>
      </c>
      <c r="I329" s="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2</v>
      </c>
      <c r="W329">
        <v>1</v>
      </c>
      <c r="X329">
        <v>0</v>
      </c>
      <c r="Y329">
        <v>0</v>
      </c>
      <c r="Z329">
        <v>0</v>
      </c>
      <c r="AA329">
        <v>0</v>
      </c>
      <c r="AB329">
        <v>2</v>
      </c>
      <c r="AC329">
        <v>1</v>
      </c>
      <c r="AD329" s="69">
        <v>550</v>
      </c>
      <c r="AE329" s="69">
        <v>42</v>
      </c>
      <c r="AF329" s="69">
        <v>27</v>
      </c>
      <c r="AG329" s="69">
        <v>15</v>
      </c>
      <c r="AH329" s="69">
        <v>7.6363636363636367</v>
      </c>
      <c r="AI329" s="69">
        <v>4.9090909090909092</v>
      </c>
      <c r="AJ329" s="69">
        <v>2.7272727272727271</v>
      </c>
    </row>
    <row r="330" spans="1:36" x14ac:dyDescent="0.25">
      <c r="A330">
        <v>34329</v>
      </c>
      <c r="B330" s="85" t="str">
        <f>VLOOKUP(A330,ADM!$A$1:$R$343,14,0)</f>
        <v>CC la Domitienne</v>
      </c>
      <c r="C330" t="s">
        <v>1090</v>
      </c>
      <c r="D330" s="8" t="s">
        <v>243</v>
      </c>
      <c r="E330" s="4">
        <v>8.6999999999999994E-2</v>
      </c>
      <c r="I330" s="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 s="69">
        <v>2430</v>
      </c>
      <c r="AE330" s="69">
        <v>117</v>
      </c>
      <c r="AF330" s="69">
        <v>67</v>
      </c>
      <c r="AG330" s="69">
        <v>50</v>
      </c>
      <c r="AH330" s="69">
        <v>4.8148148148148149</v>
      </c>
      <c r="AI330" s="69">
        <v>2.7572016460905351</v>
      </c>
      <c r="AJ330" s="69">
        <v>2.0576131687242798</v>
      </c>
    </row>
    <row r="331" spans="1:36" x14ac:dyDescent="0.25">
      <c r="A331">
        <v>34331</v>
      </c>
      <c r="B331" s="85" t="str">
        <f>VLOOKUP(A331,ADM!$A$1:$R$343,14,0)</f>
        <v>CC Du Minervois au Caroux en Haut-Languedoc</v>
      </c>
      <c r="C331" t="s">
        <v>1092</v>
      </c>
      <c r="D331" s="8" t="s">
        <v>115</v>
      </c>
      <c r="E331" s="4" t="s">
        <v>1132</v>
      </c>
      <c r="I331" s="8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 s="69" t="s">
        <v>1132</v>
      </c>
      <c r="AE331" s="69" t="s">
        <v>1132</v>
      </c>
      <c r="AF331" s="69" t="s">
        <v>1132</v>
      </c>
      <c r="AG331" s="69" t="s">
        <v>1132</v>
      </c>
      <c r="AH331" s="69" t="s">
        <v>1132</v>
      </c>
      <c r="AI331" s="69" t="s">
        <v>1132</v>
      </c>
      <c r="AJ331" s="69" t="s">
        <v>1132</v>
      </c>
    </row>
    <row r="332" spans="1:36" x14ac:dyDescent="0.25">
      <c r="A332">
        <v>34332</v>
      </c>
      <c r="B332" s="85" t="str">
        <f>VLOOKUP(A332,ADM!$A$1:$R$343,14,0)</f>
        <v>CA Hérault-Méditerranée</v>
      </c>
      <c r="C332" t="s">
        <v>1094</v>
      </c>
      <c r="D332" s="8" t="s">
        <v>135</v>
      </c>
      <c r="E332" s="4">
        <v>0.158</v>
      </c>
      <c r="I332" s="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1</v>
      </c>
      <c r="Q332">
        <v>0</v>
      </c>
      <c r="R332">
        <v>0</v>
      </c>
      <c r="S332">
        <v>2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 s="69">
        <v>5744</v>
      </c>
      <c r="AE332" s="69">
        <v>337</v>
      </c>
      <c r="AF332" s="69">
        <v>213</v>
      </c>
      <c r="AG332" s="69">
        <v>124</v>
      </c>
      <c r="AH332" s="69">
        <v>5.866991643454039</v>
      </c>
      <c r="AI332" s="69">
        <v>3.7082172701949863</v>
      </c>
      <c r="AJ332" s="69">
        <v>2.1587743732590527</v>
      </c>
    </row>
    <row r="333" spans="1:36" x14ac:dyDescent="0.25">
      <c r="A333">
        <v>34333</v>
      </c>
      <c r="B333" s="85" t="str">
        <f>VLOOKUP(A333,ADM!$A$1:$R$343,14,0)</f>
        <v>Sète Agglopôle Méditerranée</v>
      </c>
      <c r="C333" t="s">
        <v>1099</v>
      </c>
      <c r="D333" s="8" t="s">
        <v>135</v>
      </c>
      <c r="E333" s="4">
        <v>8.7999999999999995E-2</v>
      </c>
      <c r="I333" s="8">
        <v>0</v>
      </c>
      <c r="J333">
        <v>0</v>
      </c>
      <c r="K333">
        <v>0</v>
      </c>
      <c r="L333">
        <v>0</v>
      </c>
      <c r="M333">
        <v>3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 s="69">
        <v>2359</v>
      </c>
      <c r="AE333" s="69">
        <v>196</v>
      </c>
      <c r="AF333" s="69">
        <v>143</v>
      </c>
      <c r="AG333" s="69">
        <v>53</v>
      </c>
      <c r="AH333" s="69">
        <v>8.3086053412462899</v>
      </c>
      <c r="AI333" s="69">
        <v>6.0618906316235694</v>
      </c>
      <c r="AJ333" s="69">
        <v>2.2467147096227214</v>
      </c>
    </row>
    <row r="334" spans="1:36" x14ac:dyDescent="0.25">
      <c r="A334">
        <v>34334</v>
      </c>
      <c r="B334" s="85" t="str">
        <f>VLOOKUP(A334,ADM!$A$1:$R$343,14,0)</f>
        <v>CC Du Minervois au Caroux en Haut-Languedoc</v>
      </c>
      <c r="C334" t="s">
        <v>1101</v>
      </c>
      <c r="D334" s="8" t="s">
        <v>115</v>
      </c>
      <c r="E334" s="4">
        <v>0.29099999999999998</v>
      </c>
      <c r="I334" s="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 s="69" t="s">
        <v>1132</v>
      </c>
      <c r="AE334" s="69" t="s">
        <v>1132</v>
      </c>
      <c r="AF334" s="69" t="s">
        <v>1132</v>
      </c>
      <c r="AG334" s="69" t="s">
        <v>1132</v>
      </c>
      <c r="AH334" s="69" t="s">
        <v>1132</v>
      </c>
      <c r="AI334" s="69" t="s">
        <v>1132</v>
      </c>
      <c r="AJ334" s="69" t="s">
        <v>1132</v>
      </c>
    </row>
    <row r="335" spans="1:36" x14ac:dyDescent="0.25">
      <c r="A335">
        <v>34335</v>
      </c>
      <c r="B335" s="85" t="str">
        <f>VLOOKUP(A335,ADM!$A$1:$R$343,14,0)</f>
        <v>CC Grand Orb en Languedoc</v>
      </c>
      <c r="C335" t="s">
        <v>1103</v>
      </c>
      <c r="D335" s="8" t="s">
        <v>115</v>
      </c>
      <c r="E335" s="4">
        <v>0.17599999999999999</v>
      </c>
      <c r="I335" s="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 s="69" t="s">
        <v>1132</v>
      </c>
      <c r="AE335" s="69" t="s">
        <v>1132</v>
      </c>
      <c r="AF335" s="69" t="s">
        <v>1132</v>
      </c>
      <c r="AG335" s="69" t="s">
        <v>1132</v>
      </c>
      <c r="AH335" s="69" t="s">
        <v>1132</v>
      </c>
      <c r="AI335" s="69" t="s">
        <v>1132</v>
      </c>
      <c r="AJ335" s="69" t="s">
        <v>1132</v>
      </c>
    </row>
    <row r="336" spans="1:36" x14ac:dyDescent="0.25">
      <c r="A336">
        <v>34336</v>
      </c>
      <c r="B336" s="85" t="str">
        <f>VLOOKUP(A336,ADM!$A$1:$R$343,14,0)</f>
        <v>CA de Béziers-Méditerranée</v>
      </c>
      <c r="C336" t="s">
        <v>1105</v>
      </c>
      <c r="D336" s="8" t="s">
        <v>243</v>
      </c>
      <c r="E336" s="4">
        <v>0.13900000000000001</v>
      </c>
      <c r="I336" s="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</v>
      </c>
      <c r="W336">
        <v>0</v>
      </c>
      <c r="X336">
        <v>0</v>
      </c>
      <c r="Y336">
        <v>1</v>
      </c>
      <c r="Z336">
        <v>0</v>
      </c>
      <c r="AA336">
        <v>0</v>
      </c>
      <c r="AB336">
        <v>0</v>
      </c>
      <c r="AC336">
        <v>0</v>
      </c>
      <c r="AD336" s="69">
        <v>2431</v>
      </c>
      <c r="AE336" s="69">
        <v>277</v>
      </c>
      <c r="AF336" s="69">
        <v>165</v>
      </c>
      <c r="AG336" s="69">
        <v>112</v>
      </c>
      <c r="AH336" s="69">
        <v>11.394487865076099</v>
      </c>
      <c r="AI336" s="69">
        <v>6.7873303167420813</v>
      </c>
      <c r="AJ336" s="69">
        <v>4.607157548334019</v>
      </c>
    </row>
    <row r="337" spans="1:36" x14ac:dyDescent="0.25">
      <c r="A337">
        <v>34337</v>
      </c>
      <c r="B337" s="85" t="str">
        <f>VLOOKUP(A337,ADM!$A$1:$R$343,14,0)</f>
        <v>Montpellier Méditerranée Métropole</v>
      </c>
      <c r="C337" t="s">
        <v>1110</v>
      </c>
      <c r="D337" s="8" t="s">
        <v>195</v>
      </c>
      <c r="E337" s="4">
        <v>7.8E-2</v>
      </c>
      <c r="I337" s="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1</v>
      </c>
      <c r="AB337">
        <v>0</v>
      </c>
      <c r="AC337">
        <v>0</v>
      </c>
      <c r="AD337" s="69">
        <v>4038</v>
      </c>
      <c r="AE337" s="69">
        <v>283</v>
      </c>
      <c r="AF337" s="69">
        <v>233</v>
      </c>
      <c r="AG337" s="69">
        <v>50</v>
      </c>
      <c r="AH337" s="69">
        <v>7.008420009905894</v>
      </c>
      <c r="AI337" s="69">
        <v>5.7701832590391282</v>
      </c>
      <c r="AJ337" s="69">
        <v>1.2382367508667658</v>
      </c>
    </row>
    <row r="338" spans="1:36" x14ac:dyDescent="0.25">
      <c r="A338">
        <v>34338</v>
      </c>
      <c r="B338" s="85" t="str">
        <f>VLOOKUP(A338,ADM!$A$1:$R$343,14,0)</f>
        <v>CC du Clermontais</v>
      </c>
      <c r="C338" t="s">
        <v>1115</v>
      </c>
      <c r="D338" s="8" t="s">
        <v>115</v>
      </c>
      <c r="E338" s="4" t="s">
        <v>1132</v>
      </c>
      <c r="I338" s="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 s="69" t="s">
        <v>1132</v>
      </c>
      <c r="AE338" s="69" t="s">
        <v>1132</v>
      </c>
      <c r="AF338" s="69" t="s">
        <v>1132</v>
      </c>
      <c r="AG338" s="69" t="s">
        <v>1132</v>
      </c>
      <c r="AH338" s="69" t="s">
        <v>1132</v>
      </c>
      <c r="AI338" s="69" t="s">
        <v>1132</v>
      </c>
      <c r="AJ338" s="69" t="s">
        <v>1132</v>
      </c>
    </row>
    <row r="339" spans="1:36" x14ac:dyDescent="0.25">
      <c r="A339">
        <v>34339</v>
      </c>
      <c r="B339" s="85" t="str">
        <f>VLOOKUP(A339,ADM!$A$1:$R$343,14,0)</f>
        <v>CC Sud-Hérault</v>
      </c>
      <c r="C339" t="s">
        <v>1117</v>
      </c>
      <c r="D339" s="8" t="s">
        <v>115</v>
      </c>
      <c r="E339" s="4" t="s">
        <v>1132</v>
      </c>
      <c r="I339" s="8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 s="69" t="s">
        <v>1132</v>
      </c>
      <c r="AE339" s="69" t="s">
        <v>1132</v>
      </c>
      <c r="AF339" s="69" t="s">
        <v>1132</v>
      </c>
      <c r="AG339" s="69" t="s">
        <v>1132</v>
      </c>
      <c r="AH339" s="69" t="s">
        <v>1132</v>
      </c>
      <c r="AI339" s="69" t="s">
        <v>1132</v>
      </c>
      <c r="AJ339" s="69" t="s">
        <v>1132</v>
      </c>
    </row>
    <row r="340" spans="1:36" x14ac:dyDescent="0.25">
      <c r="A340">
        <v>34340</v>
      </c>
      <c r="B340" s="85" t="str">
        <f>VLOOKUP(A340,ADM!$A$1:$R$343,14,0)</f>
        <v>CC du Pays de Lunel</v>
      </c>
      <c r="C340" t="s">
        <v>1119</v>
      </c>
      <c r="D340" s="8" t="s">
        <v>135</v>
      </c>
      <c r="E340" s="4">
        <v>4.8000000000000001E-2</v>
      </c>
      <c r="I340" s="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 s="69" t="s">
        <v>1132</v>
      </c>
      <c r="AE340" s="69" t="s">
        <v>1132</v>
      </c>
      <c r="AF340" s="69" t="s">
        <v>1132</v>
      </c>
      <c r="AG340" s="69" t="s">
        <v>1132</v>
      </c>
      <c r="AH340" s="69" t="s">
        <v>1132</v>
      </c>
      <c r="AI340" s="69" t="s">
        <v>1132</v>
      </c>
      <c r="AJ340" s="69" t="s">
        <v>1132</v>
      </c>
    </row>
    <row r="341" spans="1:36" x14ac:dyDescent="0.25">
      <c r="A341">
        <v>34341</v>
      </c>
      <c r="B341" s="85" t="str">
        <f>VLOOKUP(A341,ADM!$A$1:$R$343,14,0)</f>
        <v>Sète Agglopôle Méditerranée</v>
      </c>
      <c r="C341" t="s">
        <v>1121</v>
      </c>
      <c r="D341" s="8" t="s">
        <v>115</v>
      </c>
      <c r="E341" s="4">
        <v>0.11600000000000001</v>
      </c>
      <c r="I341" s="8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 s="69">
        <v>1774</v>
      </c>
      <c r="AE341" s="69">
        <v>159</v>
      </c>
      <c r="AF341" s="69">
        <v>109</v>
      </c>
      <c r="AG341" s="69">
        <v>50</v>
      </c>
      <c r="AH341" s="69">
        <v>8.9627959413754237</v>
      </c>
      <c r="AI341" s="69">
        <v>6.1443066516347242</v>
      </c>
      <c r="AJ341" s="69">
        <v>2.818489289740699</v>
      </c>
    </row>
    <row r="342" spans="1:36" x14ac:dyDescent="0.25">
      <c r="A342">
        <v>34342</v>
      </c>
      <c r="B342" s="85" t="str">
        <f>VLOOKUP(A342,ADM!$A$1:$R$343,14,0)</f>
        <v>CC du Grand Pic Saint-Loup</v>
      </c>
      <c r="C342" t="s">
        <v>1126</v>
      </c>
      <c r="D342" s="8" t="s">
        <v>115</v>
      </c>
      <c r="E342" s="4" t="s">
        <v>1132</v>
      </c>
      <c r="I342" s="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 s="69" t="s">
        <v>1132</v>
      </c>
      <c r="AE342" s="69" t="s">
        <v>1132</v>
      </c>
      <c r="AF342" s="69" t="s">
        <v>1132</v>
      </c>
      <c r="AG342" s="69" t="s">
        <v>1132</v>
      </c>
      <c r="AH342" s="69" t="s">
        <v>1132</v>
      </c>
      <c r="AI342" s="69" t="s">
        <v>1132</v>
      </c>
      <c r="AJ342" s="69" t="s">
        <v>1132</v>
      </c>
    </row>
    <row r="343" spans="1:36" x14ac:dyDescent="0.25">
      <c r="A343">
        <v>34343</v>
      </c>
      <c r="B343" s="85" t="str">
        <f>VLOOKUP(A343,ADM!$A$1:$R$343,14,0)</f>
        <v>CC du Grand Pic Saint-Loup</v>
      </c>
      <c r="C343" t="s">
        <v>1128</v>
      </c>
      <c r="D343" s="8" t="s">
        <v>115</v>
      </c>
      <c r="E343" s="4">
        <v>4.7E-2</v>
      </c>
      <c r="I343" s="8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 s="69">
        <v>551</v>
      </c>
      <c r="AE343" s="69">
        <v>47</v>
      </c>
      <c r="AF343" s="69">
        <v>30</v>
      </c>
      <c r="AG343" s="69">
        <v>17</v>
      </c>
      <c r="AH343" s="69">
        <v>8.5299455535390205</v>
      </c>
      <c r="AI343" s="69">
        <v>5.4446460980036298</v>
      </c>
      <c r="AJ343" s="69">
        <v>3.0852994555353903</v>
      </c>
    </row>
    <row r="344" spans="1:36" s="8" customFormat="1" x14ac:dyDescent="0.25">
      <c r="A344" s="8">
        <v>34344</v>
      </c>
      <c r="B344" s="85" t="str">
        <f>VLOOKUP(A344,ADM!$A$1:$R$343,14,0)</f>
        <v>CA du Pays de l'Or</v>
      </c>
      <c r="C344" s="8" t="s">
        <v>1130</v>
      </c>
      <c r="D344" s="8" t="s">
        <v>195</v>
      </c>
      <c r="E344" s="9">
        <v>5.0000000000000001E-3</v>
      </c>
      <c r="F344" s="5"/>
      <c r="G344" s="5"/>
      <c r="H344" s="5"/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69">
        <v>19804</v>
      </c>
      <c r="AE344" s="69">
        <v>891</v>
      </c>
      <c r="AF344" s="69">
        <v>790</v>
      </c>
      <c r="AG344" s="69">
        <v>101</v>
      </c>
      <c r="AH344" s="69">
        <v>4.4990910927085439</v>
      </c>
      <c r="AI344" s="69">
        <v>3.9890931125025246</v>
      </c>
      <c r="AJ344" s="69">
        <v>0.50999798020601905</v>
      </c>
    </row>
    <row r="345" spans="1:36" x14ac:dyDescent="0.25">
      <c r="A345" s="8">
        <v>34</v>
      </c>
      <c r="B345" s="85" t="e">
        <f>VLOOKUP(A345,ADM!$A$1:$R$343,14,0)</f>
        <v>#N/A</v>
      </c>
      <c r="C345" s="8" t="s">
        <v>1136</v>
      </c>
      <c r="E345" s="4">
        <v>8.5000000000000006E-2</v>
      </c>
      <c r="F345" s="5">
        <f t="shared" ref="F345:AC345" si="0">SUM(F3:F344)</f>
        <v>0</v>
      </c>
      <c r="G345" s="5">
        <f t="shared" si="0"/>
        <v>0</v>
      </c>
      <c r="H345" s="5">
        <f t="shared" si="0"/>
        <v>0</v>
      </c>
      <c r="I345" s="8">
        <f t="shared" si="0"/>
        <v>29</v>
      </c>
      <c r="J345">
        <f t="shared" si="0"/>
        <v>101</v>
      </c>
      <c r="K345">
        <f t="shared" si="0"/>
        <v>7</v>
      </c>
      <c r="L345">
        <f t="shared" si="0"/>
        <v>44</v>
      </c>
      <c r="M345">
        <f t="shared" si="0"/>
        <v>94</v>
      </c>
      <c r="N345">
        <f t="shared" si="0"/>
        <v>16</v>
      </c>
      <c r="O345">
        <f t="shared" si="0"/>
        <v>28</v>
      </c>
      <c r="P345">
        <f t="shared" si="0"/>
        <v>90</v>
      </c>
      <c r="Q345">
        <f t="shared" si="0"/>
        <v>8</v>
      </c>
      <c r="R345">
        <f t="shared" si="0"/>
        <v>38</v>
      </c>
      <c r="S345">
        <f t="shared" si="0"/>
        <v>121</v>
      </c>
      <c r="T345">
        <f t="shared" si="0"/>
        <v>16</v>
      </c>
      <c r="U345">
        <f t="shared" si="0"/>
        <v>27</v>
      </c>
      <c r="V345">
        <f t="shared" si="0"/>
        <v>98</v>
      </c>
      <c r="W345">
        <f t="shared" si="0"/>
        <v>12</v>
      </c>
      <c r="X345">
        <f t="shared" si="0"/>
        <v>15</v>
      </c>
      <c r="Y345">
        <f t="shared" si="0"/>
        <v>38</v>
      </c>
      <c r="Z345">
        <f t="shared" si="0"/>
        <v>2</v>
      </c>
      <c r="AA345">
        <f t="shared" si="0"/>
        <v>12</v>
      </c>
      <c r="AB345">
        <f t="shared" si="0"/>
        <v>60</v>
      </c>
      <c r="AC345">
        <f t="shared" si="0"/>
        <v>10</v>
      </c>
      <c r="AD345" s="70">
        <v>654624</v>
      </c>
      <c r="AE345" s="70">
        <v>63144</v>
      </c>
      <c r="AF345" s="70">
        <v>45121</v>
      </c>
      <c r="AG345" s="70">
        <v>18023</v>
      </c>
      <c r="AH345" s="70">
        <v>2032.1926687069529</v>
      </c>
      <c r="AI345" s="70">
        <v>1113.4665279704889</v>
      </c>
      <c r="AJ345" s="70">
        <v>918.72614073646514</v>
      </c>
    </row>
  </sheetData>
  <sortState ref="A3:AB344">
    <sortCondition ref="A3:A3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22"/>
  <sheetViews>
    <sheetView workbookViewId="0">
      <selection activeCell="M3" sqref="M3"/>
    </sheetView>
  </sheetViews>
  <sheetFormatPr baseColWidth="10" defaultRowHeight="15" x14ac:dyDescent="0.25"/>
  <cols>
    <col min="1" max="1" width="54.7109375" customWidth="1"/>
    <col min="2" max="2" width="15.42578125" customWidth="1"/>
    <col min="3" max="3" width="17" customWidth="1"/>
    <col min="4" max="4" width="18" customWidth="1"/>
    <col min="5" max="5" width="15.42578125" customWidth="1"/>
    <col min="6" max="6" width="17" customWidth="1"/>
    <col min="7" max="7" width="18" customWidth="1"/>
    <col min="8" max="8" width="15.42578125" customWidth="1"/>
    <col min="9" max="9" width="17" customWidth="1"/>
    <col min="10" max="10" width="18" customWidth="1"/>
    <col min="11" max="11" width="15.42578125" customWidth="1"/>
    <col min="12" max="12" width="17" customWidth="1"/>
    <col min="13" max="13" width="18" customWidth="1"/>
    <col min="14" max="14" width="15.42578125" customWidth="1"/>
    <col min="15" max="15" width="17" customWidth="1"/>
    <col min="16" max="16" width="18" customWidth="1"/>
    <col min="17" max="17" width="26.85546875" bestFit="1" customWidth="1"/>
    <col min="18" max="18" width="28.42578125" bestFit="1" customWidth="1"/>
    <col min="19" max="19" width="29.42578125" bestFit="1" customWidth="1"/>
    <col min="20" max="20" width="23" customWidth="1"/>
    <col min="21" max="21" width="24.42578125" customWidth="1"/>
    <col min="22" max="22" width="25.42578125" customWidth="1"/>
    <col min="23" max="23" width="24.28515625" customWidth="1"/>
    <col min="24" max="24" width="29.140625" customWidth="1"/>
    <col min="25" max="25" width="31.28515625" customWidth="1"/>
    <col min="26" max="26" width="29.140625" customWidth="1"/>
  </cols>
  <sheetData>
    <row r="2" spans="1:26" ht="14.45" x14ac:dyDescent="0.35">
      <c r="A2">
        <v>1</v>
      </c>
      <c r="B2">
        <v>2</v>
      </c>
      <c r="C2">
        <v>3</v>
      </c>
      <c r="D2" s="85">
        <v>4</v>
      </c>
      <c r="E2" s="85">
        <v>5</v>
      </c>
      <c r="F2" s="85">
        <v>6</v>
      </c>
      <c r="G2" s="85">
        <v>7</v>
      </c>
      <c r="H2" s="85">
        <v>8</v>
      </c>
      <c r="I2" s="85">
        <v>9</v>
      </c>
      <c r="J2" s="85">
        <v>10</v>
      </c>
      <c r="K2" s="85">
        <v>11</v>
      </c>
      <c r="L2" s="85">
        <v>12</v>
      </c>
      <c r="M2" s="85">
        <v>13</v>
      </c>
      <c r="N2" s="85">
        <v>14</v>
      </c>
      <c r="O2" s="85">
        <v>15</v>
      </c>
      <c r="P2" s="85">
        <v>16</v>
      </c>
      <c r="Q2" s="85">
        <v>17</v>
      </c>
      <c r="R2" s="85">
        <v>18</v>
      </c>
      <c r="S2" s="85">
        <v>19</v>
      </c>
      <c r="T2" s="85">
        <v>20</v>
      </c>
      <c r="U2" s="85">
        <v>21</v>
      </c>
      <c r="V2" s="85">
        <v>22</v>
      </c>
      <c r="W2" s="85">
        <v>23</v>
      </c>
      <c r="X2" s="85">
        <v>24</v>
      </c>
      <c r="Y2" s="85">
        <v>25</v>
      </c>
      <c r="Z2" s="85">
        <v>26</v>
      </c>
    </row>
    <row r="3" spans="1:26" x14ac:dyDescent="0.25">
      <c r="A3" s="104" t="s">
        <v>1158</v>
      </c>
      <c r="B3" s="85" t="s">
        <v>1340</v>
      </c>
      <c r="C3" s="85" t="s">
        <v>1341</v>
      </c>
      <c r="D3" s="85" t="s">
        <v>1342</v>
      </c>
      <c r="E3" s="85" t="s">
        <v>1343</v>
      </c>
      <c r="F3" s="85" t="s">
        <v>1344</v>
      </c>
      <c r="G3" s="85" t="s">
        <v>1345</v>
      </c>
      <c r="H3" s="85" t="s">
        <v>1346</v>
      </c>
      <c r="I3" s="85" t="s">
        <v>1347</v>
      </c>
      <c r="J3" s="85" t="s">
        <v>1348</v>
      </c>
      <c r="K3" s="85" t="s">
        <v>1349</v>
      </c>
      <c r="L3" s="85" t="s">
        <v>1350</v>
      </c>
      <c r="M3" s="85" t="s">
        <v>1351</v>
      </c>
      <c r="N3" s="85" t="s">
        <v>1352</v>
      </c>
      <c r="O3" s="85" t="s">
        <v>1353</v>
      </c>
      <c r="P3" s="85" t="s">
        <v>1354</v>
      </c>
      <c r="Q3" s="85" t="s">
        <v>1355</v>
      </c>
      <c r="R3" s="85" t="s">
        <v>1356</v>
      </c>
      <c r="S3" s="85" t="s">
        <v>1357</v>
      </c>
      <c r="T3" s="85" t="s">
        <v>1359</v>
      </c>
      <c r="U3" s="85" t="s">
        <v>1358</v>
      </c>
      <c r="V3" s="85" t="s">
        <v>1360</v>
      </c>
      <c r="W3" s="85" t="s">
        <v>1361</v>
      </c>
      <c r="X3" s="85" t="s">
        <v>1362</v>
      </c>
      <c r="Y3" s="85" t="s">
        <v>1363</v>
      </c>
      <c r="Z3" s="85" t="s">
        <v>1364</v>
      </c>
    </row>
    <row r="4" spans="1:26" x14ac:dyDescent="0.25">
      <c r="A4" s="96" t="s">
        <v>171</v>
      </c>
      <c r="B4" s="97">
        <v>6</v>
      </c>
      <c r="C4" s="97">
        <v>19</v>
      </c>
      <c r="D4" s="97">
        <v>1</v>
      </c>
      <c r="E4" s="97">
        <v>26</v>
      </c>
      <c r="F4" s="97">
        <v>2</v>
      </c>
      <c r="G4" s="97">
        <v>0</v>
      </c>
      <c r="H4" s="97">
        <v>15</v>
      </c>
      <c r="I4" s="97">
        <v>3</v>
      </c>
      <c r="J4" s="97">
        <v>0</v>
      </c>
      <c r="K4" s="97">
        <v>19</v>
      </c>
      <c r="L4" s="97">
        <v>42</v>
      </c>
      <c r="M4" s="97">
        <v>4</v>
      </c>
      <c r="N4" s="97">
        <v>3</v>
      </c>
      <c r="O4" s="97">
        <v>34</v>
      </c>
      <c r="P4" s="97">
        <v>1</v>
      </c>
      <c r="Q4" s="97">
        <v>1</v>
      </c>
      <c r="R4" s="97">
        <v>28</v>
      </c>
      <c r="S4" s="97">
        <v>1</v>
      </c>
      <c r="T4" s="97">
        <v>2</v>
      </c>
      <c r="U4" s="97">
        <v>6</v>
      </c>
      <c r="V4" s="97">
        <v>0</v>
      </c>
      <c r="W4" s="97">
        <v>76441</v>
      </c>
      <c r="X4" s="97">
        <v>9501</v>
      </c>
      <c r="Y4" s="97">
        <v>6130</v>
      </c>
      <c r="Z4" s="97">
        <v>3371</v>
      </c>
    </row>
    <row r="5" spans="1:26" ht="14.45" x14ac:dyDescent="0.35">
      <c r="A5" s="96" t="s">
        <v>322</v>
      </c>
      <c r="B5" s="97">
        <v>0</v>
      </c>
      <c r="C5" s="97">
        <v>0</v>
      </c>
      <c r="D5" s="97">
        <v>0</v>
      </c>
      <c r="E5" s="97">
        <v>0</v>
      </c>
      <c r="F5" s="97">
        <v>0</v>
      </c>
      <c r="G5" s="97">
        <v>0</v>
      </c>
      <c r="H5" s="97">
        <v>0</v>
      </c>
      <c r="I5" s="97">
        <v>0</v>
      </c>
      <c r="J5" s="97">
        <v>0</v>
      </c>
      <c r="K5" s="97">
        <v>2</v>
      </c>
      <c r="L5" s="97">
        <v>1</v>
      </c>
      <c r="M5" s="97">
        <v>0</v>
      </c>
      <c r="N5" s="97">
        <v>0</v>
      </c>
      <c r="O5" s="97">
        <v>0</v>
      </c>
      <c r="P5" s="97">
        <v>0</v>
      </c>
      <c r="Q5" s="97">
        <v>0</v>
      </c>
      <c r="R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44367</v>
      </c>
      <c r="X5" s="97">
        <v>3140</v>
      </c>
      <c r="Y5" s="97">
        <v>2635</v>
      </c>
      <c r="Z5" s="97">
        <v>505</v>
      </c>
    </row>
    <row r="6" spans="1:26" x14ac:dyDescent="0.25">
      <c r="A6" s="96" t="s">
        <v>125</v>
      </c>
      <c r="B6" s="97">
        <v>2</v>
      </c>
      <c r="C6" s="97">
        <v>27</v>
      </c>
      <c r="D6" s="97">
        <v>0</v>
      </c>
      <c r="E6" s="97">
        <v>0</v>
      </c>
      <c r="F6" s="97">
        <v>24</v>
      </c>
      <c r="G6" s="97">
        <v>0</v>
      </c>
      <c r="H6" s="97">
        <v>1</v>
      </c>
      <c r="I6" s="97">
        <v>14</v>
      </c>
      <c r="J6" s="97">
        <v>0</v>
      </c>
      <c r="K6" s="97">
        <v>1</v>
      </c>
      <c r="L6" s="97">
        <v>25</v>
      </c>
      <c r="M6" s="97">
        <v>5</v>
      </c>
      <c r="N6" s="97">
        <v>0</v>
      </c>
      <c r="O6" s="97">
        <v>12</v>
      </c>
      <c r="P6" s="97">
        <v>2</v>
      </c>
      <c r="Q6" s="97">
        <v>0</v>
      </c>
      <c r="R6" s="97">
        <v>0</v>
      </c>
      <c r="S6" s="97">
        <v>0</v>
      </c>
      <c r="T6" s="97">
        <v>0</v>
      </c>
      <c r="U6" s="97">
        <v>12</v>
      </c>
      <c r="V6" s="97">
        <v>2</v>
      </c>
      <c r="W6" s="97">
        <v>80544</v>
      </c>
      <c r="X6" s="97">
        <v>5088</v>
      </c>
      <c r="Y6" s="97">
        <v>3364</v>
      </c>
      <c r="Z6" s="97">
        <v>1724</v>
      </c>
    </row>
    <row r="7" spans="1:26" x14ac:dyDescent="0.25">
      <c r="A7" s="96" t="s">
        <v>154</v>
      </c>
      <c r="B7" s="97">
        <v>0</v>
      </c>
      <c r="C7" s="97">
        <v>0</v>
      </c>
      <c r="D7" s="97">
        <v>0</v>
      </c>
      <c r="E7" s="97">
        <v>0</v>
      </c>
      <c r="F7" s="97">
        <v>7</v>
      </c>
      <c r="G7" s="97">
        <v>0</v>
      </c>
      <c r="H7" s="97">
        <v>0</v>
      </c>
      <c r="I7" s="97">
        <v>3</v>
      </c>
      <c r="J7" s="97">
        <v>0</v>
      </c>
      <c r="K7" s="97">
        <v>0</v>
      </c>
      <c r="L7" s="97">
        <v>1</v>
      </c>
      <c r="M7" s="97">
        <v>0</v>
      </c>
      <c r="N7" s="97">
        <v>0</v>
      </c>
      <c r="O7" s="97">
        <v>2</v>
      </c>
      <c r="P7" s="97">
        <v>0</v>
      </c>
      <c r="Q7" s="97">
        <v>0</v>
      </c>
      <c r="R7" s="97">
        <v>0</v>
      </c>
      <c r="S7" s="97">
        <v>0</v>
      </c>
      <c r="T7" s="97">
        <v>0</v>
      </c>
      <c r="U7" s="97">
        <v>2</v>
      </c>
      <c r="V7" s="97">
        <v>0</v>
      </c>
      <c r="W7" s="97">
        <v>6398</v>
      </c>
      <c r="X7" s="97">
        <v>912</v>
      </c>
      <c r="Y7" s="97">
        <v>475</v>
      </c>
      <c r="Z7" s="97">
        <v>437</v>
      </c>
    </row>
    <row r="8" spans="1:26" ht="14.45" x14ac:dyDescent="0.35">
      <c r="A8" s="96" t="s">
        <v>311</v>
      </c>
      <c r="B8" s="97">
        <v>0</v>
      </c>
      <c r="C8" s="97">
        <v>0</v>
      </c>
      <c r="D8" s="97">
        <v>0</v>
      </c>
      <c r="E8" s="97">
        <v>0</v>
      </c>
      <c r="F8" s="97">
        <v>1</v>
      </c>
      <c r="G8" s="97">
        <v>0</v>
      </c>
      <c r="H8" s="97">
        <v>0</v>
      </c>
      <c r="I8" s="97">
        <v>0</v>
      </c>
      <c r="J8" s="97">
        <v>0</v>
      </c>
      <c r="K8" s="97">
        <v>0</v>
      </c>
      <c r="L8" s="97">
        <v>0</v>
      </c>
      <c r="M8" s="97">
        <v>0</v>
      </c>
      <c r="N8" s="97">
        <v>0</v>
      </c>
      <c r="O8" s="97">
        <v>0</v>
      </c>
      <c r="P8" s="97">
        <v>0</v>
      </c>
      <c r="Q8" s="97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2692</v>
      </c>
      <c r="X8" s="97">
        <v>280</v>
      </c>
      <c r="Y8" s="97">
        <v>111</v>
      </c>
      <c r="Z8" s="97">
        <v>169</v>
      </c>
    </row>
    <row r="9" spans="1:26" ht="14.45" x14ac:dyDescent="0.35">
      <c r="A9" s="96" t="s">
        <v>189</v>
      </c>
      <c r="B9" s="97">
        <v>0</v>
      </c>
      <c r="C9" s="97">
        <v>1</v>
      </c>
      <c r="D9" s="97">
        <v>0</v>
      </c>
      <c r="E9" s="97">
        <v>0</v>
      </c>
      <c r="F9" s="97">
        <v>0</v>
      </c>
      <c r="G9" s="97">
        <v>0</v>
      </c>
      <c r="H9" s="97">
        <v>0</v>
      </c>
      <c r="I9" s="97">
        <v>0</v>
      </c>
      <c r="J9" s="97">
        <v>0</v>
      </c>
      <c r="K9" s="97">
        <v>0</v>
      </c>
      <c r="L9" s="97">
        <v>0</v>
      </c>
      <c r="M9" s="97">
        <v>0</v>
      </c>
      <c r="N9" s="97">
        <v>0</v>
      </c>
      <c r="O9" s="97">
        <v>1</v>
      </c>
      <c r="P9" s="97">
        <v>0</v>
      </c>
      <c r="Q9" s="97">
        <v>0</v>
      </c>
      <c r="R9" s="97">
        <v>0</v>
      </c>
      <c r="S9" s="97">
        <v>0</v>
      </c>
      <c r="T9" s="97">
        <v>0</v>
      </c>
      <c r="U9" s="97">
        <v>1</v>
      </c>
      <c r="V9" s="97">
        <v>0</v>
      </c>
      <c r="W9" s="97">
        <v>12827</v>
      </c>
      <c r="X9" s="97">
        <v>1271</v>
      </c>
      <c r="Y9" s="97">
        <v>658</v>
      </c>
      <c r="Z9" s="97">
        <v>613</v>
      </c>
    </row>
    <row r="10" spans="1:26" ht="14.45" x14ac:dyDescent="0.35">
      <c r="A10" s="96" t="s">
        <v>194</v>
      </c>
      <c r="B10" s="97">
        <v>1</v>
      </c>
      <c r="C10" s="97">
        <v>0</v>
      </c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>
        <v>1</v>
      </c>
      <c r="J10" s="97">
        <v>0</v>
      </c>
      <c r="K10" s="97">
        <v>0</v>
      </c>
      <c r="L10" s="97">
        <v>2</v>
      </c>
      <c r="M10" s="97">
        <v>0</v>
      </c>
      <c r="N10" s="97">
        <v>0</v>
      </c>
      <c r="O10" s="97">
        <v>1</v>
      </c>
      <c r="P10" s="97">
        <v>0</v>
      </c>
      <c r="Q10" s="97">
        <v>0</v>
      </c>
      <c r="R10" s="97">
        <v>0</v>
      </c>
      <c r="S10" s="97">
        <v>0</v>
      </c>
      <c r="T10" s="97">
        <v>0</v>
      </c>
      <c r="U10" s="97">
        <v>1</v>
      </c>
      <c r="V10" s="97">
        <v>0</v>
      </c>
      <c r="W10" s="97">
        <v>17274</v>
      </c>
      <c r="X10" s="97">
        <v>1005</v>
      </c>
      <c r="Y10" s="97">
        <v>706</v>
      </c>
      <c r="Z10" s="97">
        <v>299</v>
      </c>
    </row>
    <row r="11" spans="1:26" ht="14.45" x14ac:dyDescent="0.35">
      <c r="A11" s="96" t="s">
        <v>143</v>
      </c>
      <c r="B11" s="97">
        <v>0</v>
      </c>
      <c r="C11" s="97">
        <v>6</v>
      </c>
      <c r="D11" s="97">
        <v>1</v>
      </c>
      <c r="E11" s="97">
        <v>0</v>
      </c>
      <c r="F11" s="97">
        <v>1</v>
      </c>
      <c r="G11" s="97">
        <v>0</v>
      </c>
      <c r="H11" s="97">
        <v>0</v>
      </c>
      <c r="I11" s="97">
        <v>6</v>
      </c>
      <c r="J11" s="97">
        <v>1</v>
      </c>
      <c r="K11" s="97">
        <v>0</v>
      </c>
      <c r="L11" s="97">
        <v>2</v>
      </c>
      <c r="M11" s="97">
        <v>0</v>
      </c>
      <c r="N11" s="97">
        <v>0</v>
      </c>
      <c r="O11" s="97">
        <v>2</v>
      </c>
      <c r="P11" s="97">
        <v>0</v>
      </c>
      <c r="Q11" s="97">
        <v>0</v>
      </c>
      <c r="R11" s="97">
        <v>0</v>
      </c>
      <c r="S11" s="97">
        <v>0</v>
      </c>
      <c r="T11" s="97">
        <v>0</v>
      </c>
      <c r="U11" s="97">
        <v>2</v>
      </c>
      <c r="V11" s="97">
        <v>0</v>
      </c>
      <c r="W11" s="97">
        <v>10338</v>
      </c>
      <c r="X11" s="97">
        <v>1589</v>
      </c>
      <c r="Y11" s="97">
        <v>540</v>
      </c>
      <c r="Z11" s="97">
        <v>1049</v>
      </c>
    </row>
    <row r="12" spans="1:26" ht="14.45" x14ac:dyDescent="0.35">
      <c r="A12" s="96" t="s">
        <v>277</v>
      </c>
      <c r="B12" s="97">
        <v>0</v>
      </c>
      <c r="C12" s="97">
        <v>2</v>
      </c>
      <c r="D12" s="97">
        <v>1</v>
      </c>
      <c r="E12" s="97">
        <v>0</v>
      </c>
      <c r="F12" s="97">
        <v>0</v>
      </c>
      <c r="G12" s="97">
        <v>0</v>
      </c>
      <c r="H12" s="97">
        <v>2</v>
      </c>
      <c r="I12" s="97">
        <v>3</v>
      </c>
      <c r="J12" s="97">
        <v>3</v>
      </c>
      <c r="K12" s="97">
        <v>0</v>
      </c>
      <c r="L12" s="97">
        <v>2</v>
      </c>
      <c r="M12" s="97">
        <v>1</v>
      </c>
      <c r="N12" s="97">
        <v>2</v>
      </c>
      <c r="O12" s="97">
        <v>2</v>
      </c>
      <c r="P12" s="97">
        <v>0</v>
      </c>
      <c r="Q12" s="97">
        <v>2</v>
      </c>
      <c r="R12" s="97">
        <v>0</v>
      </c>
      <c r="S12" s="97">
        <v>0</v>
      </c>
      <c r="T12" s="97">
        <v>0</v>
      </c>
      <c r="U12" s="97">
        <v>2</v>
      </c>
      <c r="V12" s="97">
        <v>0</v>
      </c>
      <c r="W12" s="97">
        <v>19537</v>
      </c>
      <c r="X12" s="97">
        <v>1720</v>
      </c>
      <c r="Y12" s="97">
        <v>1209</v>
      </c>
      <c r="Z12" s="97">
        <v>511</v>
      </c>
    </row>
    <row r="13" spans="1:26" ht="14.45" x14ac:dyDescent="0.35">
      <c r="A13" s="96" t="s">
        <v>167</v>
      </c>
      <c r="B13" s="97">
        <v>0</v>
      </c>
      <c r="C13" s="97">
        <v>1</v>
      </c>
      <c r="D13" s="97">
        <v>0</v>
      </c>
      <c r="E13" s="97">
        <v>0</v>
      </c>
      <c r="F13" s="97">
        <v>7</v>
      </c>
      <c r="G13" s="97">
        <v>5</v>
      </c>
      <c r="H13" s="97">
        <v>0</v>
      </c>
      <c r="I13" s="97">
        <v>3</v>
      </c>
      <c r="J13" s="97">
        <v>0</v>
      </c>
      <c r="K13" s="97">
        <v>0</v>
      </c>
      <c r="L13" s="97">
        <v>6</v>
      </c>
      <c r="M13" s="97">
        <v>0</v>
      </c>
      <c r="N13" s="97">
        <v>0</v>
      </c>
      <c r="O13" s="97">
        <v>2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2</v>
      </c>
      <c r="V13" s="97">
        <v>0</v>
      </c>
      <c r="W13" s="97">
        <v>13519</v>
      </c>
      <c r="X13" s="97">
        <v>2020</v>
      </c>
      <c r="Y13" s="97">
        <v>907</v>
      </c>
      <c r="Z13" s="97">
        <v>1113</v>
      </c>
    </row>
    <row r="14" spans="1:26" ht="14.45" x14ac:dyDescent="0.35">
      <c r="A14" s="96" t="s">
        <v>377</v>
      </c>
      <c r="B14" s="97">
        <v>0</v>
      </c>
      <c r="C14" s="97">
        <v>3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2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97">
        <v>0</v>
      </c>
      <c r="T14" s="97">
        <v>0</v>
      </c>
      <c r="U14" s="97">
        <v>0</v>
      </c>
      <c r="V14" s="97">
        <v>0</v>
      </c>
      <c r="W14" s="97">
        <v>15390</v>
      </c>
      <c r="X14" s="97">
        <v>1224</v>
      </c>
      <c r="Y14" s="97">
        <v>649</v>
      </c>
      <c r="Z14" s="97">
        <v>575</v>
      </c>
    </row>
    <row r="15" spans="1:26" ht="14.45" x14ac:dyDescent="0.35">
      <c r="A15" s="96" t="s">
        <v>108</v>
      </c>
      <c r="B15" s="97">
        <v>0</v>
      </c>
      <c r="C15" s="97">
        <v>3</v>
      </c>
      <c r="D15" s="97">
        <v>0</v>
      </c>
      <c r="E15" s="97">
        <v>0</v>
      </c>
      <c r="F15" s="97">
        <v>4</v>
      </c>
      <c r="G15" s="97">
        <v>2</v>
      </c>
      <c r="H15" s="97">
        <v>0</v>
      </c>
      <c r="I15" s="97">
        <v>7</v>
      </c>
      <c r="J15" s="97">
        <v>0</v>
      </c>
      <c r="K15" s="97">
        <v>0</v>
      </c>
      <c r="L15" s="97">
        <v>1</v>
      </c>
      <c r="M15" s="97">
        <v>0</v>
      </c>
      <c r="N15" s="97">
        <v>0</v>
      </c>
      <c r="O15" s="97">
        <v>6</v>
      </c>
      <c r="P15" s="97">
        <v>0</v>
      </c>
      <c r="Q15" s="97">
        <v>0</v>
      </c>
      <c r="R15" s="97">
        <v>1</v>
      </c>
      <c r="S15" s="97">
        <v>0</v>
      </c>
      <c r="T15" s="97">
        <v>0</v>
      </c>
      <c r="U15" s="97">
        <v>5</v>
      </c>
      <c r="V15" s="97">
        <v>0</v>
      </c>
      <c r="W15" s="97">
        <v>14674</v>
      </c>
      <c r="X15" s="97">
        <v>1347</v>
      </c>
      <c r="Y15" s="97">
        <v>703</v>
      </c>
      <c r="Z15" s="97">
        <v>644</v>
      </c>
    </row>
    <row r="16" spans="1:26" x14ac:dyDescent="0.25">
      <c r="A16" s="96" t="s">
        <v>284</v>
      </c>
      <c r="B16" s="97">
        <v>0</v>
      </c>
      <c r="C16" s="97">
        <v>3</v>
      </c>
      <c r="D16" s="97">
        <v>2</v>
      </c>
      <c r="E16" s="97">
        <v>0</v>
      </c>
      <c r="F16" s="97">
        <v>6</v>
      </c>
      <c r="G16" s="97">
        <v>2</v>
      </c>
      <c r="H16" s="97">
        <v>0</v>
      </c>
      <c r="I16" s="97">
        <v>7</v>
      </c>
      <c r="J16" s="97">
        <v>4</v>
      </c>
      <c r="K16" s="97">
        <v>0</v>
      </c>
      <c r="L16" s="97">
        <v>5</v>
      </c>
      <c r="M16" s="97">
        <v>3</v>
      </c>
      <c r="N16" s="97">
        <v>0</v>
      </c>
      <c r="O16" s="97">
        <v>0</v>
      </c>
      <c r="P16" s="97">
        <v>1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97">
        <v>1</v>
      </c>
      <c r="W16" s="97">
        <v>7042</v>
      </c>
      <c r="X16" s="97">
        <v>972</v>
      </c>
      <c r="Y16" s="97">
        <v>546</v>
      </c>
      <c r="Z16" s="97">
        <v>426</v>
      </c>
    </row>
    <row r="17" spans="1:26" x14ac:dyDescent="0.25">
      <c r="A17" s="96" t="s">
        <v>198</v>
      </c>
      <c r="B17" s="97">
        <v>0</v>
      </c>
      <c r="C17" s="97">
        <v>3</v>
      </c>
      <c r="D17" s="97">
        <v>0</v>
      </c>
      <c r="E17" s="97">
        <v>0</v>
      </c>
      <c r="F17" s="97">
        <v>4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1</v>
      </c>
      <c r="M17" s="97">
        <v>0</v>
      </c>
      <c r="N17" s="97">
        <v>0</v>
      </c>
      <c r="O17" s="97">
        <v>3</v>
      </c>
      <c r="P17" s="97">
        <v>0</v>
      </c>
      <c r="Q17" s="97">
        <v>0</v>
      </c>
      <c r="R17" s="97">
        <v>0</v>
      </c>
      <c r="S17" s="97">
        <v>0</v>
      </c>
      <c r="T17" s="97">
        <v>0</v>
      </c>
      <c r="U17" s="97">
        <v>3</v>
      </c>
      <c r="V17" s="97">
        <v>0</v>
      </c>
      <c r="W17" s="97">
        <v>10454</v>
      </c>
      <c r="X17" s="97">
        <v>1288</v>
      </c>
      <c r="Y17" s="97">
        <v>540</v>
      </c>
      <c r="Z17" s="97">
        <v>748</v>
      </c>
    </row>
    <row r="18" spans="1:26" x14ac:dyDescent="0.25">
      <c r="A18" s="96" t="s">
        <v>178</v>
      </c>
      <c r="B18" s="97">
        <v>0</v>
      </c>
      <c r="C18" s="97">
        <v>2</v>
      </c>
      <c r="D18" s="97">
        <v>1</v>
      </c>
      <c r="E18" s="97">
        <v>0</v>
      </c>
      <c r="F18" s="97">
        <v>5</v>
      </c>
      <c r="G18" s="97">
        <v>1</v>
      </c>
      <c r="H18" s="97">
        <v>0</v>
      </c>
      <c r="I18" s="97">
        <v>0</v>
      </c>
      <c r="J18" s="97">
        <v>0</v>
      </c>
      <c r="K18" s="97">
        <v>0</v>
      </c>
      <c r="L18" s="97">
        <v>10</v>
      </c>
      <c r="M18" s="97">
        <v>2</v>
      </c>
      <c r="N18" s="97">
        <v>0</v>
      </c>
      <c r="O18" s="97">
        <v>3</v>
      </c>
      <c r="P18" s="97">
        <v>1</v>
      </c>
      <c r="Q18" s="97">
        <v>0</v>
      </c>
      <c r="R18" s="97">
        <v>1</v>
      </c>
      <c r="S18" s="97">
        <v>0</v>
      </c>
      <c r="T18" s="97">
        <v>0</v>
      </c>
      <c r="U18" s="97">
        <v>2</v>
      </c>
      <c r="V18" s="97">
        <v>1</v>
      </c>
      <c r="W18" s="97">
        <v>16050</v>
      </c>
      <c r="X18" s="97">
        <v>1286</v>
      </c>
      <c r="Y18" s="97">
        <v>788</v>
      </c>
      <c r="Z18" s="97">
        <v>498</v>
      </c>
    </row>
    <row r="19" spans="1:26" x14ac:dyDescent="0.25">
      <c r="A19" s="96" t="s">
        <v>220</v>
      </c>
      <c r="B19" s="97">
        <v>13</v>
      </c>
      <c r="C19" s="97">
        <v>10</v>
      </c>
      <c r="D19" s="97">
        <v>0</v>
      </c>
      <c r="E19" s="97">
        <v>18</v>
      </c>
      <c r="F19" s="97">
        <v>24</v>
      </c>
      <c r="G19" s="97">
        <v>0</v>
      </c>
      <c r="H19" s="97">
        <v>10</v>
      </c>
      <c r="I19" s="97">
        <v>27</v>
      </c>
      <c r="J19" s="97">
        <v>0</v>
      </c>
      <c r="K19" s="97">
        <v>6</v>
      </c>
      <c r="L19" s="97">
        <v>9</v>
      </c>
      <c r="M19" s="97">
        <v>0</v>
      </c>
      <c r="N19" s="97">
        <v>15</v>
      </c>
      <c r="O19" s="97">
        <v>9</v>
      </c>
      <c r="P19" s="97">
        <v>1</v>
      </c>
      <c r="Q19" s="97">
        <v>10</v>
      </c>
      <c r="R19" s="97">
        <v>5</v>
      </c>
      <c r="S19" s="97">
        <v>1</v>
      </c>
      <c r="T19" s="97">
        <v>5</v>
      </c>
      <c r="U19" s="97">
        <v>4</v>
      </c>
      <c r="V19" s="97">
        <v>0</v>
      </c>
      <c r="W19" s="97">
        <v>226270</v>
      </c>
      <c r="X19" s="97">
        <v>24141</v>
      </c>
      <c r="Y19" s="97">
        <v>20391</v>
      </c>
      <c r="Z19" s="97">
        <v>3750</v>
      </c>
    </row>
    <row r="20" spans="1:26" x14ac:dyDescent="0.25">
      <c r="A20" s="96" t="s">
        <v>230</v>
      </c>
      <c r="B20" s="97">
        <v>7</v>
      </c>
      <c r="C20" s="97">
        <v>21</v>
      </c>
      <c r="D20" s="97">
        <v>1</v>
      </c>
      <c r="E20" s="97">
        <v>0</v>
      </c>
      <c r="F20" s="97">
        <v>9</v>
      </c>
      <c r="G20" s="97">
        <v>6</v>
      </c>
      <c r="H20" s="97">
        <v>0</v>
      </c>
      <c r="I20" s="97">
        <v>16</v>
      </c>
      <c r="J20" s="97">
        <v>0</v>
      </c>
      <c r="K20" s="97">
        <v>10</v>
      </c>
      <c r="L20" s="97">
        <v>12</v>
      </c>
      <c r="M20" s="97">
        <v>1</v>
      </c>
      <c r="N20" s="97">
        <v>7</v>
      </c>
      <c r="O20" s="97">
        <v>21</v>
      </c>
      <c r="P20" s="97">
        <v>6</v>
      </c>
      <c r="Q20" s="97">
        <v>2</v>
      </c>
      <c r="R20" s="97">
        <v>3</v>
      </c>
      <c r="S20" s="97">
        <v>0</v>
      </c>
      <c r="T20" s="97">
        <v>5</v>
      </c>
      <c r="U20" s="97">
        <v>18</v>
      </c>
      <c r="V20" s="97">
        <v>6</v>
      </c>
      <c r="W20" s="97">
        <v>80807</v>
      </c>
      <c r="X20" s="97">
        <v>6360</v>
      </c>
      <c r="Y20" s="97">
        <v>4769</v>
      </c>
      <c r="Z20" s="97">
        <v>1591</v>
      </c>
    </row>
    <row r="21" spans="1:26" x14ac:dyDescent="0.25">
      <c r="A21" s="96" t="s">
        <v>1315</v>
      </c>
      <c r="B21" s="97">
        <v>29</v>
      </c>
      <c r="C21" s="97">
        <v>101</v>
      </c>
      <c r="D21" s="97">
        <v>7</v>
      </c>
      <c r="E21" s="97">
        <v>44</v>
      </c>
      <c r="F21" s="97">
        <v>94</v>
      </c>
      <c r="G21" s="97">
        <v>16</v>
      </c>
      <c r="H21" s="97">
        <v>28</v>
      </c>
      <c r="I21" s="97">
        <v>90</v>
      </c>
      <c r="J21" s="97">
        <v>8</v>
      </c>
      <c r="K21" s="97">
        <v>38</v>
      </c>
      <c r="L21" s="97">
        <v>121</v>
      </c>
      <c r="M21" s="97">
        <v>16</v>
      </c>
      <c r="N21" s="97">
        <v>27</v>
      </c>
      <c r="O21" s="97">
        <v>98</v>
      </c>
      <c r="P21" s="97">
        <v>12</v>
      </c>
      <c r="Q21" s="97">
        <v>15</v>
      </c>
      <c r="R21" s="97">
        <v>38</v>
      </c>
      <c r="S21" s="97">
        <v>2</v>
      </c>
      <c r="T21" s="97">
        <v>12</v>
      </c>
      <c r="U21" s="97">
        <v>60</v>
      </c>
      <c r="V21" s="97">
        <v>10</v>
      </c>
      <c r="W21" s="97">
        <v>654624</v>
      </c>
      <c r="X21" s="97">
        <v>63144</v>
      </c>
      <c r="Y21" s="97">
        <v>45121</v>
      </c>
      <c r="Z21" s="97">
        <v>18023</v>
      </c>
    </row>
    <row r="22" spans="1:26" x14ac:dyDescent="0.25">
      <c r="A22" s="96" t="s">
        <v>1182</v>
      </c>
      <c r="B22" s="97">
        <v>58</v>
      </c>
      <c r="C22" s="97">
        <v>202</v>
      </c>
      <c r="D22" s="97">
        <v>14</v>
      </c>
      <c r="E22" s="97">
        <v>88</v>
      </c>
      <c r="F22" s="97">
        <v>188</v>
      </c>
      <c r="G22" s="97">
        <v>32</v>
      </c>
      <c r="H22" s="97">
        <v>56</v>
      </c>
      <c r="I22" s="97">
        <v>180</v>
      </c>
      <c r="J22" s="97">
        <v>16</v>
      </c>
      <c r="K22" s="97">
        <v>76</v>
      </c>
      <c r="L22" s="97">
        <v>242</v>
      </c>
      <c r="M22" s="97">
        <v>32</v>
      </c>
      <c r="N22" s="97">
        <v>54</v>
      </c>
      <c r="O22" s="97">
        <v>196</v>
      </c>
      <c r="P22" s="97">
        <v>24</v>
      </c>
      <c r="Q22" s="97">
        <v>30</v>
      </c>
      <c r="R22" s="97">
        <v>76</v>
      </c>
      <c r="S22" s="97">
        <v>4</v>
      </c>
      <c r="T22" s="97">
        <v>24</v>
      </c>
      <c r="U22" s="97">
        <v>120</v>
      </c>
      <c r="V22" s="97">
        <v>20</v>
      </c>
      <c r="W22" s="97">
        <v>1309248</v>
      </c>
      <c r="X22" s="97">
        <v>126288</v>
      </c>
      <c r="Y22" s="97">
        <v>90242</v>
      </c>
      <c r="Z22" s="97">
        <v>36046</v>
      </c>
    </row>
  </sheetData>
  <pageMargins left="0.7" right="0.7" top="0.75" bottom="0.75" header="0.3" footer="0.3"/>
  <pageSetup paperSize="9" orientation="portrait" horizontalDpi="4294967293" vertic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E22" sqref="E22"/>
    </sheetView>
  </sheetViews>
  <sheetFormatPr baseColWidth="10" defaultRowHeight="15" x14ac:dyDescent="0.25"/>
  <cols>
    <col min="1" max="1" width="54.7109375" customWidth="1"/>
    <col min="2" max="2" width="20.7109375" customWidth="1"/>
    <col min="3" max="3" width="18.28515625" customWidth="1"/>
    <col min="4" max="4" width="14.5703125" customWidth="1"/>
    <col min="5" max="5" width="21.7109375" customWidth="1"/>
    <col min="6" max="6" width="22.140625" customWidth="1"/>
    <col min="7" max="7" width="6.85546875" customWidth="1"/>
    <col min="8" max="8" width="22.28515625" customWidth="1"/>
    <col min="9" max="9" width="4.7109375" customWidth="1"/>
    <col min="10" max="10" width="11" customWidth="1"/>
    <col min="11" max="11" width="12.42578125" customWidth="1"/>
    <col min="12" max="12" width="11.7109375" customWidth="1"/>
    <col min="13" max="17" width="6.85546875" customWidth="1"/>
    <col min="18" max="18" width="11.7109375" bestFit="1" customWidth="1"/>
  </cols>
  <sheetData>
    <row r="1" spans="1:6" x14ac:dyDescent="0.25">
      <c r="A1" s="79" t="s">
        <v>1158</v>
      </c>
      <c r="B1" t="s">
        <v>1255</v>
      </c>
      <c r="C1" t="s">
        <v>1256</v>
      </c>
      <c r="D1" t="s">
        <v>1261</v>
      </c>
      <c r="E1" s="107" t="s">
        <v>1260</v>
      </c>
      <c r="F1" t="s">
        <v>180</v>
      </c>
    </row>
    <row r="2" spans="1:6" x14ac:dyDescent="0.25">
      <c r="A2" s="18" t="s">
        <v>171</v>
      </c>
      <c r="B2" s="19">
        <v>100002</v>
      </c>
      <c r="C2" s="19">
        <v>30552</v>
      </c>
      <c r="D2" s="19">
        <v>17</v>
      </c>
      <c r="E2" s="162" t="s">
        <v>1375</v>
      </c>
      <c r="F2" s="82" t="s">
        <v>1371</v>
      </c>
    </row>
    <row r="3" spans="1:6" x14ac:dyDescent="0.25">
      <c r="A3" s="18" t="s">
        <v>322</v>
      </c>
      <c r="B3" s="19">
        <v>100016</v>
      </c>
      <c r="C3" s="19">
        <v>14876</v>
      </c>
      <c r="D3" s="19">
        <v>8</v>
      </c>
      <c r="E3" s="162" t="s">
        <v>1376</v>
      </c>
      <c r="F3" t="s">
        <v>1372</v>
      </c>
    </row>
    <row r="4" spans="1:6" x14ac:dyDescent="0.25">
      <c r="A4" s="18" t="s">
        <v>125</v>
      </c>
      <c r="B4" s="19">
        <v>100181</v>
      </c>
      <c r="C4" s="19">
        <v>38859</v>
      </c>
      <c r="D4" s="19">
        <v>20</v>
      </c>
      <c r="E4" s="162" t="s">
        <v>1377</v>
      </c>
      <c r="F4" s="85" t="s">
        <v>1372</v>
      </c>
    </row>
    <row r="5" spans="1:6" x14ac:dyDescent="0.25">
      <c r="A5" s="18" t="s">
        <v>154</v>
      </c>
      <c r="B5" s="19">
        <v>100033</v>
      </c>
      <c r="C5" s="19">
        <v>16039</v>
      </c>
      <c r="D5" s="19">
        <v>9</v>
      </c>
      <c r="E5" s="162" t="s">
        <v>1380</v>
      </c>
      <c r="F5" s="82" t="s">
        <v>1371</v>
      </c>
    </row>
    <row r="6" spans="1:6" x14ac:dyDescent="0.25">
      <c r="A6" s="18" t="s">
        <v>311</v>
      </c>
      <c r="B6" s="19">
        <v>100256</v>
      </c>
      <c r="C6" s="19">
        <v>31918</v>
      </c>
      <c r="D6" s="19">
        <v>6</v>
      </c>
      <c r="E6" s="162" t="s">
        <v>1379</v>
      </c>
      <c r="F6" s="82" t="s">
        <v>1371</v>
      </c>
    </row>
    <row r="7" spans="1:6" x14ac:dyDescent="0.25">
      <c r="A7" s="18" t="s">
        <v>189</v>
      </c>
      <c r="B7" s="19">
        <v>100004</v>
      </c>
      <c r="C7" s="19">
        <v>23715</v>
      </c>
      <c r="D7" s="19">
        <v>21</v>
      </c>
      <c r="E7" s="162" t="s">
        <v>1381</v>
      </c>
      <c r="F7" s="82" t="s">
        <v>1371</v>
      </c>
    </row>
    <row r="8" spans="1:6" x14ac:dyDescent="0.25">
      <c r="A8" s="18" t="s">
        <v>194</v>
      </c>
      <c r="B8" s="19">
        <v>100235</v>
      </c>
      <c r="C8" s="19">
        <v>57658</v>
      </c>
      <c r="D8" s="19">
        <v>36</v>
      </c>
      <c r="E8" s="162" t="s">
        <v>1382</v>
      </c>
      <c r="F8" s="85" t="s">
        <v>1372</v>
      </c>
    </row>
    <row r="9" spans="1:6" x14ac:dyDescent="0.25">
      <c r="A9" s="18" t="s">
        <v>143</v>
      </c>
      <c r="B9" s="19">
        <v>100257</v>
      </c>
      <c r="C9" s="19">
        <v>78408</v>
      </c>
      <c r="D9" s="19">
        <v>36</v>
      </c>
      <c r="E9" s="162" t="s">
        <v>1383</v>
      </c>
      <c r="F9" s="85" t="s">
        <v>1373</v>
      </c>
    </row>
    <row r="10" spans="1:6" x14ac:dyDescent="0.25">
      <c r="A10" s="18" t="s">
        <v>277</v>
      </c>
      <c r="B10" s="19">
        <v>100017</v>
      </c>
      <c r="C10" s="19">
        <v>15837</v>
      </c>
      <c r="D10" s="19">
        <v>14</v>
      </c>
      <c r="E10" s="162" t="s">
        <v>1384</v>
      </c>
      <c r="F10" s="85" t="s">
        <v>1372</v>
      </c>
    </row>
    <row r="11" spans="1:6" x14ac:dyDescent="0.25">
      <c r="A11" s="18" t="s">
        <v>167</v>
      </c>
      <c r="B11" s="19">
        <v>100249</v>
      </c>
      <c r="C11" s="19">
        <v>45946</v>
      </c>
      <c r="D11" s="19">
        <v>24</v>
      </c>
      <c r="E11" s="162" t="s">
        <v>1385</v>
      </c>
      <c r="F11" s="85" t="s">
        <v>1373</v>
      </c>
    </row>
    <row r="12" spans="1:6" x14ac:dyDescent="0.25">
      <c r="A12" s="18" t="s">
        <v>377</v>
      </c>
      <c r="B12" s="19">
        <v>100015</v>
      </c>
      <c r="C12" s="19">
        <v>17243</v>
      </c>
      <c r="D12" s="19">
        <v>8</v>
      </c>
      <c r="E12" s="162" t="s">
        <v>1386</v>
      </c>
      <c r="F12" s="82" t="s">
        <v>1371</v>
      </c>
    </row>
    <row r="13" spans="1:6" x14ac:dyDescent="0.25">
      <c r="A13" s="18" t="s">
        <v>108</v>
      </c>
      <c r="B13" s="19">
        <v>100258</v>
      </c>
      <c r="C13" s="19">
        <v>35475</v>
      </c>
      <c r="D13" s="19">
        <v>25</v>
      </c>
      <c r="E13" s="162" t="s">
        <v>1387</v>
      </c>
      <c r="F13" s="85" t="s">
        <v>1373</v>
      </c>
    </row>
    <row r="14" spans="1:6" x14ac:dyDescent="0.25">
      <c r="A14" s="18" t="s">
        <v>284</v>
      </c>
      <c r="B14" s="19">
        <v>100219</v>
      </c>
      <c r="C14" s="19">
        <v>55465</v>
      </c>
      <c r="D14" s="19">
        <v>28</v>
      </c>
      <c r="E14" s="162" t="s">
        <v>1388</v>
      </c>
      <c r="F14" s="82" t="s">
        <v>1371</v>
      </c>
    </row>
    <row r="15" spans="1:6" x14ac:dyDescent="0.25">
      <c r="A15" s="18" t="s">
        <v>198</v>
      </c>
      <c r="B15" s="19">
        <v>100248</v>
      </c>
      <c r="C15" s="19">
        <v>31405</v>
      </c>
      <c r="D15" s="19">
        <v>17</v>
      </c>
      <c r="E15" s="162" t="s">
        <v>1389</v>
      </c>
      <c r="F15" s="85" t="s">
        <v>1373</v>
      </c>
    </row>
    <row r="16" spans="1:6" x14ac:dyDescent="0.25">
      <c r="A16" s="18" t="s">
        <v>178</v>
      </c>
      <c r="B16" s="19">
        <v>100031</v>
      </c>
      <c r="C16" s="19">
        <v>48221</v>
      </c>
      <c r="D16" s="19">
        <v>28</v>
      </c>
      <c r="E16" s="162" t="s">
        <v>1390</v>
      </c>
      <c r="F16" s="85" t="s">
        <v>1372</v>
      </c>
    </row>
    <row r="17" spans="1:6" x14ac:dyDescent="0.25">
      <c r="A17" s="18" t="s">
        <v>220</v>
      </c>
      <c r="B17" s="19">
        <v>100253</v>
      </c>
      <c r="C17" s="19">
        <v>43927</v>
      </c>
      <c r="D17" s="19">
        <v>31</v>
      </c>
      <c r="E17" s="162" t="s">
        <v>1391</v>
      </c>
      <c r="F17" s="85" t="s">
        <v>1374</v>
      </c>
    </row>
    <row r="18" spans="1:6" x14ac:dyDescent="0.25">
      <c r="A18" s="18" t="s">
        <v>230</v>
      </c>
      <c r="B18" s="19">
        <v>100259</v>
      </c>
      <c r="C18" s="19">
        <v>37479</v>
      </c>
      <c r="D18" s="19">
        <v>14</v>
      </c>
      <c r="E18" s="162" t="s">
        <v>1378</v>
      </c>
      <c r="F18" s="85" t="s">
        <v>1374</v>
      </c>
    </row>
    <row r="19" spans="1:6" x14ac:dyDescent="0.25">
      <c r="A19" s="18" t="s">
        <v>1182</v>
      </c>
      <c r="B19" s="19">
        <v>100172.16374269006</v>
      </c>
      <c r="C19" s="19">
        <v>623023</v>
      </c>
      <c r="D19" s="19">
        <v>342</v>
      </c>
      <c r="E19" s="85"/>
    </row>
  </sheetData>
  <pageMargins left="0.7" right="0.7" top="0.75" bottom="0.75" header="0.3" footer="0.3"/>
  <pageSetup paperSize="9" orientation="portrait" horizontalDpi="4294967293" vertic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"/>
  <sheetViews>
    <sheetView workbookViewId="0"/>
  </sheetViews>
  <sheetFormatPr baseColWidth="10" defaultColWidth="9.140625" defaultRowHeight="15" x14ac:dyDescent="0.25"/>
  <cols>
    <col min="2" max="3" width="19.7109375" customWidth="1"/>
    <col min="4" max="4" width="11" customWidth="1"/>
    <col min="5" max="5" width="33.85546875" customWidth="1"/>
    <col min="7" max="7" width="25.85546875" customWidth="1"/>
    <col min="8" max="8" width="19.5703125" customWidth="1"/>
    <col min="9" max="9" width="35.42578125" customWidth="1"/>
    <col min="10" max="10" width="37.5703125" customWidth="1"/>
    <col min="11" max="11" width="35" customWidth="1"/>
    <col min="12" max="12" width="41.85546875" customWidth="1"/>
    <col min="13" max="13" width="16.5703125" customWidth="1"/>
    <col min="14" max="14" width="47.140625" customWidth="1"/>
    <col min="15" max="15" width="31.85546875" customWidth="1"/>
    <col min="16" max="16" width="18.7109375" customWidth="1"/>
    <col min="17" max="17" width="15.28515625" customWidth="1"/>
    <col min="18" max="18" width="21.28515625" customWidth="1"/>
  </cols>
  <sheetData>
    <row r="1" spans="1:18" s="2" customFormat="1" x14ac:dyDescent="0.25">
      <c r="A1" s="2" t="s">
        <v>0</v>
      </c>
      <c r="B1" s="2" t="s">
        <v>1</v>
      </c>
      <c r="C1" s="2" t="s">
        <v>0</v>
      </c>
      <c r="D1" s="2" t="s">
        <v>1131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1135</v>
      </c>
    </row>
    <row r="2" spans="1:18" x14ac:dyDescent="0.25">
      <c r="A2">
        <v>34001</v>
      </c>
      <c r="B2" t="s">
        <v>100</v>
      </c>
      <c r="C2">
        <v>34001</v>
      </c>
      <c r="D2">
        <v>787</v>
      </c>
      <c r="E2" t="s">
        <v>101</v>
      </c>
      <c r="F2">
        <v>20</v>
      </c>
      <c r="G2" t="s">
        <v>102</v>
      </c>
      <c r="H2" t="s">
        <v>103</v>
      </c>
      <c r="I2" t="s">
        <v>104</v>
      </c>
      <c r="J2" t="s">
        <v>105</v>
      </c>
      <c r="K2" t="s">
        <v>106</v>
      </c>
      <c r="L2" t="s">
        <v>107</v>
      </c>
      <c r="M2">
        <v>100258</v>
      </c>
      <c r="N2" t="s">
        <v>108</v>
      </c>
      <c r="O2" t="s">
        <v>109</v>
      </c>
      <c r="P2" t="s">
        <v>110</v>
      </c>
      <c r="Q2" t="s">
        <v>111</v>
      </c>
      <c r="R2" t="s">
        <v>112</v>
      </c>
    </row>
    <row r="3" spans="1:18" x14ac:dyDescent="0.25">
      <c r="A3">
        <v>34002</v>
      </c>
      <c r="B3" t="s">
        <v>118</v>
      </c>
      <c r="C3">
        <v>34002</v>
      </c>
      <c r="D3">
        <v>443</v>
      </c>
      <c r="E3" t="s">
        <v>119</v>
      </c>
      <c r="F3">
        <v>30</v>
      </c>
      <c r="G3" t="s">
        <v>120</v>
      </c>
      <c r="H3" t="s">
        <v>121</v>
      </c>
      <c r="I3" t="s">
        <v>105</v>
      </c>
      <c r="J3" t="s">
        <v>122</v>
      </c>
      <c r="K3" t="s">
        <v>123</v>
      </c>
      <c r="L3" t="s">
        <v>124</v>
      </c>
      <c r="M3">
        <v>100181</v>
      </c>
      <c r="N3" t="s">
        <v>125</v>
      </c>
      <c r="O3" t="s">
        <v>109</v>
      </c>
      <c r="P3" t="s">
        <v>110</v>
      </c>
      <c r="Q3" t="s">
        <v>111</v>
      </c>
      <c r="R3" t="s">
        <v>180</v>
      </c>
    </row>
    <row r="4" spans="1:18" x14ac:dyDescent="0.25">
      <c r="A4">
        <v>34003</v>
      </c>
      <c r="B4" t="s">
        <v>128</v>
      </c>
      <c r="C4">
        <v>34003</v>
      </c>
      <c r="D4">
        <v>5084</v>
      </c>
      <c r="E4" t="s">
        <v>128</v>
      </c>
      <c r="F4">
        <v>11</v>
      </c>
      <c r="G4" t="s">
        <v>129</v>
      </c>
      <c r="H4" t="s">
        <v>121</v>
      </c>
      <c r="I4" t="s">
        <v>105</v>
      </c>
      <c r="J4" t="s">
        <v>122</v>
      </c>
      <c r="K4" t="s">
        <v>130</v>
      </c>
      <c r="L4" t="s">
        <v>131</v>
      </c>
      <c r="M4">
        <v>100181</v>
      </c>
      <c r="N4" t="s">
        <v>125</v>
      </c>
      <c r="O4" t="s">
        <v>109</v>
      </c>
      <c r="P4" t="s">
        <v>110</v>
      </c>
      <c r="Q4" t="s">
        <v>132</v>
      </c>
      <c r="R4" t="s">
        <v>180</v>
      </c>
    </row>
    <row r="5" spans="1:18" x14ac:dyDescent="0.25">
      <c r="A5">
        <v>34004</v>
      </c>
      <c r="B5" t="s">
        <v>138</v>
      </c>
      <c r="C5">
        <v>34004</v>
      </c>
      <c r="D5">
        <v>1211</v>
      </c>
      <c r="E5" t="s">
        <v>119</v>
      </c>
      <c r="F5">
        <v>30</v>
      </c>
      <c r="G5" t="s">
        <v>139</v>
      </c>
      <c r="H5" t="s">
        <v>103</v>
      </c>
      <c r="I5" t="s">
        <v>104</v>
      </c>
      <c r="J5" t="s">
        <v>140</v>
      </c>
      <c r="K5" t="s">
        <v>141</v>
      </c>
      <c r="L5" t="s">
        <v>142</v>
      </c>
      <c r="M5">
        <v>100257</v>
      </c>
      <c r="N5" t="s">
        <v>143</v>
      </c>
      <c r="O5" t="s">
        <v>144</v>
      </c>
      <c r="P5" t="s">
        <v>110</v>
      </c>
      <c r="Q5" t="s">
        <v>111</v>
      </c>
      <c r="R5" t="s">
        <v>112</v>
      </c>
    </row>
    <row r="6" spans="1:18" x14ac:dyDescent="0.25">
      <c r="A6">
        <v>34005</v>
      </c>
      <c r="B6" t="s">
        <v>146</v>
      </c>
      <c r="C6">
        <v>34005</v>
      </c>
      <c r="D6">
        <v>415</v>
      </c>
      <c r="E6" t="s">
        <v>147</v>
      </c>
      <c r="F6">
        <v>20</v>
      </c>
      <c r="G6" t="s">
        <v>148</v>
      </c>
      <c r="H6" t="s">
        <v>149</v>
      </c>
      <c r="I6" t="s">
        <v>150</v>
      </c>
      <c r="J6" t="s">
        <v>151</v>
      </c>
      <c r="K6" t="s">
        <v>152</v>
      </c>
      <c r="L6" t="s">
        <v>153</v>
      </c>
      <c r="M6">
        <v>100033</v>
      </c>
      <c r="N6" t="s">
        <v>154</v>
      </c>
      <c r="O6" t="s">
        <v>155</v>
      </c>
      <c r="P6" t="s">
        <v>110</v>
      </c>
      <c r="Q6" t="s">
        <v>132</v>
      </c>
      <c r="R6" t="s">
        <v>156</v>
      </c>
    </row>
    <row r="7" spans="1:18" x14ac:dyDescent="0.25">
      <c r="A7">
        <v>34006</v>
      </c>
      <c r="B7" t="s">
        <v>157</v>
      </c>
      <c r="C7">
        <v>34006</v>
      </c>
      <c r="D7">
        <v>1115</v>
      </c>
      <c r="E7" t="s">
        <v>119</v>
      </c>
      <c r="F7">
        <v>30</v>
      </c>
      <c r="G7" t="s">
        <v>158</v>
      </c>
      <c r="H7" t="s">
        <v>103</v>
      </c>
      <c r="I7" t="s">
        <v>104</v>
      </c>
      <c r="J7" t="s">
        <v>140</v>
      </c>
      <c r="K7" t="s">
        <v>141</v>
      </c>
      <c r="L7" t="s">
        <v>142</v>
      </c>
      <c r="M7">
        <v>100257</v>
      </c>
      <c r="N7" t="s">
        <v>143</v>
      </c>
      <c r="O7" t="s">
        <v>144</v>
      </c>
      <c r="P7" t="s">
        <v>110</v>
      </c>
      <c r="Q7" t="s">
        <v>132</v>
      </c>
      <c r="R7" t="s">
        <v>112</v>
      </c>
    </row>
    <row r="8" spans="1:18" x14ac:dyDescent="0.25">
      <c r="A8">
        <v>34007</v>
      </c>
      <c r="B8" t="s">
        <v>159</v>
      </c>
      <c r="C8">
        <v>34007</v>
      </c>
      <c r="D8">
        <v>1279</v>
      </c>
      <c r="E8" t="s">
        <v>119</v>
      </c>
      <c r="F8">
        <v>30</v>
      </c>
      <c r="G8" t="s">
        <v>160</v>
      </c>
      <c r="H8" t="s">
        <v>103</v>
      </c>
      <c r="I8" t="s">
        <v>104</v>
      </c>
      <c r="J8" t="s">
        <v>140</v>
      </c>
      <c r="K8" t="s">
        <v>141</v>
      </c>
      <c r="L8" t="s">
        <v>142</v>
      </c>
      <c r="M8">
        <v>100257</v>
      </c>
      <c r="N8" t="s">
        <v>143</v>
      </c>
      <c r="O8" t="s">
        <v>144</v>
      </c>
      <c r="P8" t="s">
        <v>110</v>
      </c>
      <c r="Q8" t="s">
        <v>132</v>
      </c>
      <c r="R8" t="s">
        <v>112</v>
      </c>
    </row>
    <row r="9" spans="1:18" x14ac:dyDescent="0.25">
      <c r="A9">
        <v>34008</v>
      </c>
      <c r="B9" t="s">
        <v>161</v>
      </c>
      <c r="C9">
        <v>34008</v>
      </c>
      <c r="D9">
        <v>2050</v>
      </c>
      <c r="E9" t="s">
        <v>162</v>
      </c>
      <c r="F9">
        <v>12</v>
      </c>
      <c r="G9" t="s">
        <v>163</v>
      </c>
      <c r="H9" t="s">
        <v>103</v>
      </c>
      <c r="I9" t="s">
        <v>104</v>
      </c>
      <c r="J9" t="s">
        <v>164</v>
      </c>
      <c r="K9" t="s">
        <v>165</v>
      </c>
      <c r="L9" t="s">
        <v>166</v>
      </c>
      <c r="M9">
        <v>100249</v>
      </c>
      <c r="N9" t="s">
        <v>167</v>
      </c>
      <c r="O9" t="s">
        <v>109</v>
      </c>
      <c r="P9" t="s">
        <v>110</v>
      </c>
      <c r="Q9" t="s">
        <v>132</v>
      </c>
      <c r="R9" t="s">
        <v>112</v>
      </c>
    </row>
    <row r="10" spans="1:18" x14ac:dyDescent="0.25">
      <c r="A10">
        <v>34009</v>
      </c>
      <c r="B10" t="s">
        <v>169</v>
      </c>
      <c r="C10">
        <v>34009</v>
      </c>
      <c r="D10">
        <v>1750</v>
      </c>
      <c r="E10" t="s">
        <v>101</v>
      </c>
      <c r="F10">
        <v>20</v>
      </c>
      <c r="G10" t="s">
        <v>170</v>
      </c>
      <c r="H10" t="s">
        <v>103</v>
      </c>
      <c r="I10" t="s">
        <v>105</v>
      </c>
      <c r="J10" t="s">
        <v>105</v>
      </c>
      <c r="K10" t="s">
        <v>106</v>
      </c>
      <c r="L10" t="s">
        <v>107</v>
      </c>
      <c r="M10">
        <v>100002</v>
      </c>
      <c r="N10" t="s">
        <v>171</v>
      </c>
      <c r="O10" t="s">
        <v>109</v>
      </c>
      <c r="P10" t="s">
        <v>110</v>
      </c>
      <c r="Q10" t="s">
        <v>111</v>
      </c>
      <c r="R10" t="s">
        <v>156</v>
      </c>
    </row>
    <row r="11" spans="1:18" x14ac:dyDescent="0.25">
      <c r="A11">
        <v>34010</v>
      </c>
      <c r="B11" t="s">
        <v>173</v>
      </c>
      <c r="C11">
        <v>34010</v>
      </c>
      <c r="D11">
        <v>3039</v>
      </c>
      <c r="E11" t="s">
        <v>147</v>
      </c>
      <c r="F11">
        <v>20</v>
      </c>
      <c r="G11" t="s">
        <v>174</v>
      </c>
      <c r="H11" t="s">
        <v>121</v>
      </c>
      <c r="I11" t="s">
        <v>150</v>
      </c>
      <c r="J11" t="s">
        <v>175</v>
      </c>
      <c r="K11" t="s">
        <v>176</v>
      </c>
      <c r="L11" t="s">
        <v>177</v>
      </c>
      <c r="M11">
        <v>100031</v>
      </c>
      <c r="N11" t="s">
        <v>178</v>
      </c>
      <c r="O11" t="s">
        <v>179</v>
      </c>
      <c r="P11" t="s">
        <v>110</v>
      </c>
      <c r="Q11" t="s">
        <v>111</v>
      </c>
      <c r="R11" t="s">
        <v>180</v>
      </c>
    </row>
    <row r="12" spans="1:18" x14ac:dyDescent="0.25">
      <c r="A12">
        <v>34011</v>
      </c>
      <c r="B12" t="s">
        <v>183</v>
      </c>
      <c r="C12">
        <v>34011</v>
      </c>
      <c r="D12">
        <v>659</v>
      </c>
      <c r="E12" t="s">
        <v>147</v>
      </c>
      <c r="F12">
        <v>20</v>
      </c>
      <c r="G12" t="s">
        <v>184</v>
      </c>
      <c r="H12" t="s">
        <v>121</v>
      </c>
      <c r="I12" t="s">
        <v>150</v>
      </c>
      <c r="J12" t="s">
        <v>175</v>
      </c>
      <c r="K12" t="s">
        <v>176</v>
      </c>
      <c r="L12" t="s">
        <v>177</v>
      </c>
      <c r="M12">
        <v>100031</v>
      </c>
      <c r="N12" t="s">
        <v>178</v>
      </c>
      <c r="O12" t="s">
        <v>179</v>
      </c>
      <c r="P12" t="s">
        <v>110</v>
      </c>
      <c r="Q12" t="s">
        <v>132</v>
      </c>
      <c r="R12" t="s">
        <v>180</v>
      </c>
    </row>
    <row r="13" spans="1:18" x14ac:dyDescent="0.25">
      <c r="A13">
        <v>34012</v>
      </c>
      <c r="B13" t="s">
        <v>185</v>
      </c>
      <c r="C13">
        <v>34012</v>
      </c>
      <c r="D13">
        <v>5066</v>
      </c>
      <c r="E13" t="s">
        <v>147</v>
      </c>
      <c r="F13">
        <v>20</v>
      </c>
      <c r="G13" t="s">
        <v>186</v>
      </c>
      <c r="H13" t="s">
        <v>121</v>
      </c>
      <c r="I13" t="s">
        <v>150</v>
      </c>
      <c r="J13" t="s">
        <v>175</v>
      </c>
      <c r="K13" t="s">
        <v>176</v>
      </c>
      <c r="L13" t="s">
        <v>177</v>
      </c>
      <c r="M13">
        <v>100031</v>
      </c>
      <c r="N13" t="s">
        <v>178</v>
      </c>
      <c r="O13" t="s">
        <v>179</v>
      </c>
      <c r="P13" t="s">
        <v>110</v>
      </c>
      <c r="Q13" t="s">
        <v>111</v>
      </c>
      <c r="R13" t="s">
        <v>180</v>
      </c>
    </row>
    <row r="14" spans="1:18" x14ac:dyDescent="0.25">
      <c r="A14">
        <v>34013</v>
      </c>
      <c r="B14" t="s">
        <v>187</v>
      </c>
      <c r="C14">
        <v>34013</v>
      </c>
      <c r="D14">
        <v>1618</v>
      </c>
      <c r="E14" t="s">
        <v>147</v>
      </c>
      <c r="F14">
        <v>20</v>
      </c>
      <c r="G14" t="s">
        <v>188</v>
      </c>
      <c r="H14" t="s">
        <v>121</v>
      </c>
      <c r="I14" t="s">
        <v>150</v>
      </c>
      <c r="J14" t="s">
        <v>175</v>
      </c>
      <c r="K14" t="s">
        <v>165</v>
      </c>
      <c r="L14" t="s">
        <v>166</v>
      </c>
      <c r="M14">
        <v>100004</v>
      </c>
      <c r="N14" t="s">
        <v>189</v>
      </c>
      <c r="O14" t="s">
        <v>179</v>
      </c>
      <c r="P14" t="s">
        <v>110</v>
      </c>
      <c r="Q14" t="s">
        <v>132</v>
      </c>
      <c r="R14" t="s">
        <v>156</v>
      </c>
    </row>
    <row r="15" spans="1:18" x14ac:dyDescent="0.25">
      <c r="A15">
        <v>34014</v>
      </c>
      <c r="B15" t="s">
        <v>190</v>
      </c>
      <c r="C15">
        <v>34014</v>
      </c>
      <c r="D15">
        <v>1927</v>
      </c>
      <c r="E15" t="s">
        <v>147</v>
      </c>
      <c r="F15">
        <v>20</v>
      </c>
      <c r="G15" t="s">
        <v>191</v>
      </c>
      <c r="H15" t="s">
        <v>149</v>
      </c>
      <c r="I15" t="s">
        <v>150</v>
      </c>
      <c r="J15" t="s">
        <v>151</v>
      </c>
      <c r="K15" t="s">
        <v>192</v>
      </c>
      <c r="L15" t="s">
        <v>193</v>
      </c>
      <c r="M15">
        <v>100235</v>
      </c>
      <c r="N15" t="s">
        <v>194</v>
      </c>
      <c r="O15" t="s">
        <v>109</v>
      </c>
      <c r="P15" t="s">
        <v>110</v>
      </c>
      <c r="Q15" t="s">
        <v>111</v>
      </c>
      <c r="R15" t="s">
        <v>180</v>
      </c>
    </row>
    <row r="16" spans="1:18" x14ac:dyDescent="0.25">
      <c r="A16">
        <v>34015</v>
      </c>
      <c r="B16" t="s">
        <v>196</v>
      </c>
      <c r="C16">
        <v>34015</v>
      </c>
      <c r="D16">
        <v>833</v>
      </c>
      <c r="E16" t="s">
        <v>119</v>
      </c>
      <c r="F16">
        <v>30</v>
      </c>
      <c r="G16" t="s">
        <v>197</v>
      </c>
      <c r="H16" t="s">
        <v>103</v>
      </c>
      <c r="I16" t="s">
        <v>104</v>
      </c>
      <c r="J16" t="s">
        <v>140</v>
      </c>
      <c r="K16" t="s">
        <v>141</v>
      </c>
      <c r="L16" t="s">
        <v>142</v>
      </c>
      <c r="M16">
        <v>100248</v>
      </c>
      <c r="N16" t="s">
        <v>198</v>
      </c>
      <c r="O16" t="s">
        <v>144</v>
      </c>
      <c r="P16" t="s">
        <v>110</v>
      </c>
      <c r="Q16" t="s">
        <v>111</v>
      </c>
      <c r="R16" t="s">
        <v>112</v>
      </c>
    </row>
    <row r="17" spans="1:18" x14ac:dyDescent="0.25">
      <c r="A17">
        <v>34016</v>
      </c>
      <c r="B17" t="s">
        <v>199</v>
      </c>
      <c r="C17">
        <v>34016</v>
      </c>
      <c r="D17">
        <v>5845</v>
      </c>
      <c r="E17" t="s">
        <v>147</v>
      </c>
      <c r="F17">
        <v>20</v>
      </c>
      <c r="G17" t="s">
        <v>200</v>
      </c>
      <c r="H17" t="s">
        <v>121</v>
      </c>
      <c r="I17" t="s">
        <v>150</v>
      </c>
      <c r="J17" t="s">
        <v>175</v>
      </c>
      <c r="K17" t="s">
        <v>176</v>
      </c>
      <c r="L17" t="s">
        <v>177</v>
      </c>
      <c r="M17">
        <v>100031</v>
      </c>
      <c r="N17" t="s">
        <v>178</v>
      </c>
      <c r="O17" t="s">
        <v>179</v>
      </c>
      <c r="P17" t="s">
        <v>110</v>
      </c>
      <c r="Q17" t="s">
        <v>111</v>
      </c>
      <c r="R17" t="s">
        <v>180</v>
      </c>
    </row>
    <row r="18" spans="1:18" x14ac:dyDescent="0.25">
      <c r="A18">
        <v>34017</v>
      </c>
      <c r="B18" t="s">
        <v>201</v>
      </c>
      <c r="C18">
        <v>34017</v>
      </c>
      <c r="D18">
        <v>737</v>
      </c>
      <c r="E18" t="s">
        <v>202</v>
      </c>
      <c r="F18">
        <v>20</v>
      </c>
      <c r="G18" t="s">
        <v>203</v>
      </c>
      <c r="H18" t="s">
        <v>121</v>
      </c>
      <c r="I18" t="s">
        <v>105</v>
      </c>
      <c r="J18" t="s">
        <v>122</v>
      </c>
      <c r="K18" t="s">
        <v>123</v>
      </c>
      <c r="L18" t="s">
        <v>124</v>
      </c>
      <c r="M18">
        <v>100181</v>
      </c>
      <c r="N18" t="s">
        <v>125</v>
      </c>
      <c r="O18" t="s">
        <v>109</v>
      </c>
      <c r="P18" t="s">
        <v>110</v>
      </c>
      <c r="Q18" t="s">
        <v>111</v>
      </c>
      <c r="R18" t="s">
        <v>180</v>
      </c>
    </row>
    <row r="19" spans="1:18" x14ac:dyDescent="0.25">
      <c r="A19">
        <v>34018</v>
      </c>
      <c r="B19" t="s">
        <v>204</v>
      </c>
      <c r="C19">
        <v>34018</v>
      </c>
      <c r="D19">
        <v>1166</v>
      </c>
      <c r="E19" t="s">
        <v>101</v>
      </c>
      <c r="F19">
        <v>20</v>
      </c>
      <c r="G19" t="s">
        <v>205</v>
      </c>
      <c r="H19" t="s">
        <v>103</v>
      </c>
      <c r="I19" t="s">
        <v>104</v>
      </c>
      <c r="J19" t="s">
        <v>105</v>
      </c>
      <c r="K19" t="s">
        <v>206</v>
      </c>
      <c r="L19" t="s">
        <v>207</v>
      </c>
      <c r="M19">
        <v>100258</v>
      </c>
      <c r="N19" t="s">
        <v>108</v>
      </c>
      <c r="O19" t="s">
        <v>109</v>
      </c>
      <c r="P19" t="s">
        <v>110</v>
      </c>
      <c r="Q19" t="s">
        <v>111</v>
      </c>
      <c r="R19" t="s">
        <v>112</v>
      </c>
    </row>
    <row r="20" spans="1:18" x14ac:dyDescent="0.25">
      <c r="A20">
        <v>34019</v>
      </c>
      <c r="B20" t="s">
        <v>208</v>
      </c>
      <c r="C20">
        <v>34019</v>
      </c>
      <c r="D20">
        <v>6215</v>
      </c>
      <c r="E20" t="s">
        <v>119</v>
      </c>
      <c r="F20">
        <v>30</v>
      </c>
      <c r="G20" t="s">
        <v>209</v>
      </c>
      <c r="H20" t="s">
        <v>103</v>
      </c>
      <c r="I20" t="s">
        <v>104</v>
      </c>
      <c r="J20" t="s">
        <v>164</v>
      </c>
      <c r="K20" t="s">
        <v>165</v>
      </c>
      <c r="L20" t="s">
        <v>166</v>
      </c>
      <c r="M20">
        <v>100249</v>
      </c>
      <c r="N20" t="s">
        <v>167</v>
      </c>
      <c r="O20" t="s">
        <v>144</v>
      </c>
      <c r="P20" t="s">
        <v>110</v>
      </c>
      <c r="Q20" t="s">
        <v>132</v>
      </c>
      <c r="R20" t="s">
        <v>112</v>
      </c>
    </row>
    <row r="21" spans="1:18" x14ac:dyDescent="0.25">
      <c r="A21">
        <v>34020</v>
      </c>
      <c r="B21" t="s">
        <v>210</v>
      </c>
      <c r="C21">
        <v>34020</v>
      </c>
      <c r="D21">
        <v>1431</v>
      </c>
      <c r="E21" t="s">
        <v>119</v>
      </c>
      <c r="F21">
        <v>30</v>
      </c>
      <c r="G21" t="s">
        <v>211</v>
      </c>
      <c r="H21" t="s">
        <v>103</v>
      </c>
      <c r="I21" t="s">
        <v>104</v>
      </c>
      <c r="J21" t="s">
        <v>140</v>
      </c>
      <c r="K21" t="s">
        <v>141</v>
      </c>
      <c r="L21" t="s">
        <v>142</v>
      </c>
      <c r="M21">
        <v>100257</v>
      </c>
      <c r="N21" t="s">
        <v>143</v>
      </c>
      <c r="O21" t="s">
        <v>144</v>
      </c>
      <c r="P21" t="s">
        <v>110</v>
      </c>
      <c r="Q21" t="s">
        <v>132</v>
      </c>
      <c r="R21" t="s">
        <v>112</v>
      </c>
    </row>
    <row r="22" spans="1:18" x14ac:dyDescent="0.25">
      <c r="A22">
        <v>34021</v>
      </c>
      <c r="B22" t="s">
        <v>212</v>
      </c>
      <c r="C22">
        <v>34021</v>
      </c>
      <c r="D22">
        <v>2131</v>
      </c>
      <c r="E22" t="s">
        <v>119</v>
      </c>
      <c r="F22">
        <v>30</v>
      </c>
      <c r="G22" t="s">
        <v>213</v>
      </c>
      <c r="H22" t="s">
        <v>103</v>
      </c>
      <c r="I22" t="s">
        <v>104</v>
      </c>
      <c r="J22" t="s">
        <v>140</v>
      </c>
      <c r="K22" t="s">
        <v>141</v>
      </c>
      <c r="L22" t="s">
        <v>142</v>
      </c>
      <c r="M22">
        <v>100248</v>
      </c>
      <c r="N22" t="s">
        <v>198</v>
      </c>
      <c r="O22" t="s">
        <v>144</v>
      </c>
      <c r="P22" t="s">
        <v>110</v>
      </c>
      <c r="Q22" t="s">
        <v>132</v>
      </c>
      <c r="R22" t="s">
        <v>112</v>
      </c>
    </row>
    <row r="23" spans="1:18" x14ac:dyDescent="0.25">
      <c r="A23">
        <v>34022</v>
      </c>
      <c r="B23" t="s">
        <v>214</v>
      </c>
      <c r="C23">
        <v>34022</v>
      </c>
      <c r="D23">
        <v>770</v>
      </c>
      <c r="E23" t="s">
        <v>147</v>
      </c>
      <c r="F23">
        <v>20</v>
      </c>
      <c r="G23" t="s">
        <v>215</v>
      </c>
      <c r="H23" t="s">
        <v>149</v>
      </c>
      <c r="I23" t="s">
        <v>216</v>
      </c>
      <c r="J23" t="s">
        <v>217</v>
      </c>
      <c r="K23" t="s">
        <v>218</v>
      </c>
      <c r="L23" t="s">
        <v>219</v>
      </c>
      <c r="M23">
        <v>100253</v>
      </c>
      <c r="N23" t="s">
        <v>220</v>
      </c>
      <c r="O23" t="s">
        <v>109</v>
      </c>
      <c r="P23" t="s">
        <v>156</v>
      </c>
      <c r="Q23" t="s">
        <v>132</v>
      </c>
      <c r="R23" t="s">
        <v>221</v>
      </c>
    </row>
    <row r="24" spans="1:18" x14ac:dyDescent="0.25">
      <c r="A24">
        <v>34023</v>
      </c>
      <c r="B24" t="s">
        <v>225</v>
      </c>
      <c r="C24">
        <v>34023</v>
      </c>
      <c r="D24">
        <v>870</v>
      </c>
      <c r="E24" t="s">
        <v>147</v>
      </c>
      <c r="F24">
        <v>20</v>
      </c>
      <c r="G24" t="s">
        <v>226</v>
      </c>
      <c r="H24" t="s">
        <v>121</v>
      </c>
      <c r="I24" t="s">
        <v>227</v>
      </c>
      <c r="J24" t="s">
        <v>122</v>
      </c>
      <c r="K24" t="s">
        <v>228</v>
      </c>
      <c r="L24" t="s">
        <v>229</v>
      </c>
      <c r="M24">
        <v>100259</v>
      </c>
      <c r="N24" t="s">
        <v>230</v>
      </c>
      <c r="O24" t="s">
        <v>109</v>
      </c>
      <c r="P24" t="s">
        <v>110</v>
      </c>
      <c r="Q24" t="s">
        <v>132</v>
      </c>
      <c r="R24" t="s">
        <v>221</v>
      </c>
    </row>
    <row r="25" spans="1:18" x14ac:dyDescent="0.25">
      <c r="A25">
        <v>34024</v>
      </c>
      <c r="B25" t="s">
        <v>235</v>
      </c>
      <c r="C25">
        <v>34024</v>
      </c>
      <c r="D25">
        <v>688</v>
      </c>
      <c r="E25" t="s">
        <v>147</v>
      </c>
      <c r="F25">
        <v>20</v>
      </c>
      <c r="G25" t="s">
        <v>236</v>
      </c>
      <c r="H25" t="s">
        <v>121</v>
      </c>
      <c r="I25" t="s">
        <v>227</v>
      </c>
      <c r="J25" t="s">
        <v>122</v>
      </c>
      <c r="K25" t="s">
        <v>228</v>
      </c>
      <c r="L25" t="s">
        <v>229</v>
      </c>
      <c r="M25">
        <v>100259</v>
      </c>
      <c r="N25" t="s">
        <v>230</v>
      </c>
      <c r="O25" t="s">
        <v>109</v>
      </c>
      <c r="P25" t="s">
        <v>110</v>
      </c>
      <c r="Q25" t="s">
        <v>111</v>
      </c>
      <c r="R25" t="s">
        <v>221</v>
      </c>
    </row>
    <row r="26" spans="1:18" x14ac:dyDescent="0.25">
      <c r="A26">
        <v>34025</v>
      </c>
      <c r="B26" t="s">
        <v>239</v>
      </c>
      <c r="C26">
        <v>34025</v>
      </c>
      <c r="D26">
        <v>685</v>
      </c>
      <c r="E26" t="s">
        <v>101</v>
      </c>
      <c r="F26">
        <v>20</v>
      </c>
      <c r="G26" t="s">
        <v>240</v>
      </c>
      <c r="H26" t="s">
        <v>103</v>
      </c>
      <c r="I26" t="s">
        <v>105</v>
      </c>
      <c r="J26" t="s">
        <v>105</v>
      </c>
      <c r="K26" t="s">
        <v>241</v>
      </c>
      <c r="L26" t="s">
        <v>242</v>
      </c>
      <c r="M26">
        <v>100002</v>
      </c>
      <c r="N26" t="s">
        <v>171</v>
      </c>
      <c r="O26" t="s">
        <v>109</v>
      </c>
      <c r="P26" t="s">
        <v>110</v>
      </c>
      <c r="Q26" t="s">
        <v>111</v>
      </c>
      <c r="R26" t="s">
        <v>156</v>
      </c>
    </row>
    <row r="27" spans="1:18" x14ac:dyDescent="0.25">
      <c r="A27">
        <v>34026</v>
      </c>
      <c r="B27" t="s">
        <v>246</v>
      </c>
      <c r="C27">
        <v>34026</v>
      </c>
      <c r="D27">
        <v>607</v>
      </c>
      <c r="E27" t="s">
        <v>247</v>
      </c>
      <c r="F27">
        <v>20</v>
      </c>
      <c r="G27" t="s">
        <v>248</v>
      </c>
      <c r="H27" t="s">
        <v>103</v>
      </c>
      <c r="I27" t="s">
        <v>104</v>
      </c>
      <c r="J27" t="s">
        <v>140</v>
      </c>
      <c r="K27" t="s">
        <v>141</v>
      </c>
      <c r="L27" t="s">
        <v>142</v>
      </c>
      <c r="M27">
        <v>100257</v>
      </c>
      <c r="N27" t="s">
        <v>143</v>
      </c>
      <c r="O27" t="s">
        <v>144</v>
      </c>
      <c r="P27" t="s">
        <v>110</v>
      </c>
      <c r="Q27" t="s">
        <v>132</v>
      </c>
      <c r="R27" t="s">
        <v>112</v>
      </c>
    </row>
    <row r="28" spans="1:18" x14ac:dyDescent="0.25">
      <c r="A28">
        <v>34027</v>
      </c>
      <c r="B28" t="s">
        <v>249</v>
      </c>
      <c r="C28">
        <v>34027</v>
      </c>
      <c r="D28">
        <v>786</v>
      </c>
      <c r="E28" t="s">
        <v>147</v>
      </c>
      <c r="F28">
        <v>20</v>
      </c>
      <c r="G28" t="s">
        <v>250</v>
      </c>
      <c r="H28" t="s">
        <v>149</v>
      </c>
      <c r="I28" t="s">
        <v>216</v>
      </c>
      <c r="J28" t="s">
        <v>217</v>
      </c>
      <c r="K28" t="s">
        <v>218</v>
      </c>
      <c r="L28" t="s">
        <v>219</v>
      </c>
      <c r="M28">
        <v>100253</v>
      </c>
      <c r="N28" t="s">
        <v>220</v>
      </c>
      <c r="O28" t="s">
        <v>109</v>
      </c>
      <c r="P28" t="s">
        <v>110</v>
      </c>
      <c r="Q28" t="s">
        <v>132</v>
      </c>
      <c r="R28" t="s">
        <v>221</v>
      </c>
    </row>
    <row r="29" spans="1:18" x14ac:dyDescent="0.25">
      <c r="A29">
        <v>34028</v>
      </c>
      <c r="B29" t="s">
        <v>162</v>
      </c>
      <c r="C29">
        <v>34028</v>
      </c>
      <c r="D29">
        <v>2812</v>
      </c>
      <c r="E29" t="s">
        <v>162</v>
      </c>
      <c r="F29">
        <v>11</v>
      </c>
      <c r="G29" t="s">
        <v>253</v>
      </c>
      <c r="H29" t="s">
        <v>103</v>
      </c>
      <c r="I29" t="s">
        <v>104</v>
      </c>
      <c r="J29" t="s">
        <v>164</v>
      </c>
      <c r="K29" t="s">
        <v>165</v>
      </c>
      <c r="L29" t="s">
        <v>166</v>
      </c>
      <c r="M29">
        <v>100249</v>
      </c>
      <c r="N29" t="s">
        <v>167</v>
      </c>
      <c r="O29" t="s">
        <v>144</v>
      </c>
      <c r="P29" t="s">
        <v>110</v>
      </c>
      <c r="Q29" t="s">
        <v>132</v>
      </c>
      <c r="R29" t="s">
        <v>112</v>
      </c>
    </row>
    <row r="30" spans="1:18" x14ac:dyDescent="0.25">
      <c r="A30">
        <v>34029</v>
      </c>
      <c r="B30" t="s">
        <v>255</v>
      </c>
      <c r="C30">
        <v>34029</v>
      </c>
      <c r="D30">
        <v>415</v>
      </c>
      <c r="E30" t="s">
        <v>147</v>
      </c>
      <c r="F30">
        <v>20</v>
      </c>
      <c r="G30" t="s">
        <v>256</v>
      </c>
      <c r="H30" t="s">
        <v>121</v>
      </c>
      <c r="I30" t="s">
        <v>150</v>
      </c>
      <c r="J30" t="s">
        <v>175</v>
      </c>
      <c r="K30" t="s">
        <v>176</v>
      </c>
      <c r="L30" t="s">
        <v>177</v>
      </c>
      <c r="M30">
        <v>100031</v>
      </c>
      <c r="N30" t="s">
        <v>178</v>
      </c>
      <c r="O30" t="s">
        <v>179</v>
      </c>
      <c r="P30" t="s">
        <v>110</v>
      </c>
      <c r="Q30" t="s">
        <v>111</v>
      </c>
      <c r="R30" t="s">
        <v>180</v>
      </c>
    </row>
    <row r="31" spans="1:18" x14ac:dyDescent="0.25">
      <c r="A31">
        <v>34030</v>
      </c>
      <c r="B31" t="s">
        <v>257</v>
      </c>
      <c r="C31">
        <v>34030</v>
      </c>
      <c r="D31">
        <v>1128</v>
      </c>
      <c r="E31" t="s">
        <v>119</v>
      </c>
      <c r="F31">
        <v>30</v>
      </c>
      <c r="G31" t="s">
        <v>258</v>
      </c>
      <c r="H31" t="s">
        <v>103</v>
      </c>
      <c r="I31" t="s">
        <v>104</v>
      </c>
      <c r="J31" t="s">
        <v>259</v>
      </c>
      <c r="K31" t="s">
        <v>141</v>
      </c>
      <c r="L31" t="s">
        <v>142</v>
      </c>
      <c r="M31">
        <v>100257</v>
      </c>
      <c r="N31" t="s">
        <v>143</v>
      </c>
      <c r="O31" t="s">
        <v>144</v>
      </c>
      <c r="P31" t="s">
        <v>110</v>
      </c>
      <c r="Q31" t="s">
        <v>111</v>
      </c>
      <c r="R31" t="s">
        <v>112</v>
      </c>
    </row>
    <row r="32" spans="1:18" x14ac:dyDescent="0.25">
      <c r="A32">
        <v>34031</v>
      </c>
      <c r="B32" t="s">
        <v>260</v>
      </c>
      <c r="C32">
        <v>34031</v>
      </c>
      <c r="D32">
        <v>2790</v>
      </c>
      <c r="E32" t="s">
        <v>128</v>
      </c>
      <c r="F32">
        <v>20</v>
      </c>
      <c r="G32" t="s">
        <v>261</v>
      </c>
      <c r="H32" t="s">
        <v>121</v>
      </c>
      <c r="I32" t="s">
        <v>105</v>
      </c>
      <c r="J32" t="s">
        <v>122</v>
      </c>
      <c r="K32" t="s">
        <v>130</v>
      </c>
      <c r="L32" t="s">
        <v>131</v>
      </c>
      <c r="M32">
        <v>100181</v>
      </c>
      <c r="N32" t="s">
        <v>125</v>
      </c>
      <c r="O32" t="s">
        <v>109</v>
      </c>
      <c r="P32" t="s">
        <v>110</v>
      </c>
      <c r="Q32" t="s">
        <v>111</v>
      </c>
      <c r="R32" t="s">
        <v>180</v>
      </c>
    </row>
    <row r="33" spans="1:18" x14ac:dyDescent="0.25">
      <c r="A33">
        <v>34032</v>
      </c>
      <c r="B33" t="s">
        <v>101</v>
      </c>
      <c r="C33">
        <v>34032</v>
      </c>
      <c r="D33">
        <v>9568</v>
      </c>
      <c r="E33" t="s">
        <v>101</v>
      </c>
      <c r="F33">
        <v>11</v>
      </c>
      <c r="G33" t="s">
        <v>265</v>
      </c>
      <c r="H33" t="s">
        <v>103</v>
      </c>
      <c r="I33" t="s">
        <v>105</v>
      </c>
      <c r="J33" t="s">
        <v>105</v>
      </c>
      <c r="K33" t="s">
        <v>266</v>
      </c>
      <c r="L33">
        <v>0</v>
      </c>
      <c r="M33">
        <v>100002</v>
      </c>
      <c r="N33" t="s">
        <v>171</v>
      </c>
      <c r="O33" t="s">
        <v>109</v>
      </c>
      <c r="P33" t="s">
        <v>156</v>
      </c>
      <c r="Q33" t="s">
        <v>132</v>
      </c>
      <c r="R33" t="s">
        <v>156</v>
      </c>
    </row>
    <row r="34" spans="1:18" x14ac:dyDescent="0.25">
      <c r="A34">
        <v>34033</v>
      </c>
      <c r="B34" t="s">
        <v>272</v>
      </c>
      <c r="C34">
        <v>34033</v>
      </c>
      <c r="D34">
        <v>752</v>
      </c>
      <c r="E34" t="s">
        <v>147</v>
      </c>
      <c r="F34">
        <v>20</v>
      </c>
      <c r="G34" t="s">
        <v>273</v>
      </c>
      <c r="H34" t="s">
        <v>149</v>
      </c>
      <c r="I34" t="s">
        <v>274</v>
      </c>
      <c r="J34" t="s">
        <v>274</v>
      </c>
      <c r="K34" t="s">
        <v>275</v>
      </c>
      <c r="L34" t="s">
        <v>276</v>
      </c>
      <c r="M34">
        <v>100017</v>
      </c>
      <c r="N34" t="s">
        <v>277</v>
      </c>
      <c r="O34" t="s">
        <v>109</v>
      </c>
      <c r="P34" t="s">
        <v>110</v>
      </c>
      <c r="Q34" t="s">
        <v>111</v>
      </c>
      <c r="R34" t="s">
        <v>180</v>
      </c>
    </row>
    <row r="35" spans="1:18" x14ac:dyDescent="0.25">
      <c r="A35">
        <v>34034</v>
      </c>
      <c r="B35" t="s">
        <v>278</v>
      </c>
      <c r="C35">
        <v>34034</v>
      </c>
      <c r="D35">
        <v>1743</v>
      </c>
      <c r="E35" t="s">
        <v>119</v>
      </c>
      <c r="F35">
        <v>30</v>
      </c>
      <c r="G35" t="s">
        <v>279</v>
      </c>
      <c r="H35" t="s">
        <v>103</v>
      </c>
      <c r="I35" t="s">
        <v>104</v>
      </c>
      <c r="J35" t="s">
        <v>259</v>
      </c>
      <c r="K35" t="s">
        <v>141</v>
      </c>
      <c r="L35" t="s">
        <v>142</v>
      </c>
      <c r="M35">
        <v>100257</v>
      </c>
      <c r="N35" t="s">
        <v>143</v>
      </c>
      <c r="O35" t="s">
        <v>144</v>
      </c>
      <c r="P35" t="s">
        <v>110</v>
      </c>
      <c r="Q35" t="s">
        <v>132</v>
      </c>
      <c r="R35" t="s">
        <v>112</v>
      </c>
    </row>
    <row r="36" spans="1:18" x14ac:dyDescent="0.25">
      <c r="A36">
        <v>34035</v>
      </c>
      <c r="B36" t="s">
        <v>280</v>
      </c>
      <c r="C36">
        <v>34035</v>
      </c>
      <c r="D36">
        <v>2445</v>
      </c>
      <c r="E36" t="s">
        <v>147</v>
      </c>
      <c r="F36">
        <v>20</v>
      </c>
      <c r="G36" t="s">
        <v>281</v>
      </c>
      <c r="H36" t="s">
        <v>121</v>
      </c>
      <c r="I36" t="s">
        <v>150</v>
      </c>
      <c r="J36" t="s">
        <v>175</v>
      </c>
      <c r="K36" t="s">
        <v>176</v>
      </c>
      <c r="L36" t="s">
        <v>177</v>
      </c>
      <c r="M36">
        <v>100031</v>
      </c>
      <c r="N36" t="s">
        <v>178</v>
      </c>
      <c r="O36" t="s">
        <v>179</v>
      </c>
      <c r="P36" t="s">
        <v>110</v>
      </c>
      <c r="Q36" t="s">
        <v>132</v>
      </c>
      <c r="R36" t="s">
        <v>180</v>
      </c>
    </row>
    <row r="37" spans="1:18" x14ac:dyDescent="0.25">
      <c r="A37">
        <v>34036</v>
      </c>
      <c r="B37" t="s">
        <v>282</v>
      </c>
      <c r="C37">
        <v>34036</v>
      </c>
      <c r="D37">
        <v>2802</v>
      </c>
      <c r="E37" t="s">
        <v>147</v>
      </c>
      <c r="F37">
        <v>20</v>
      </c>
      <c r="G37" t="s">
        <v>283</v>
      </c>
      <c r="H37" t="s">
        <v>121</v>
      </c>
      <c r="I37" t="s">
        <v>150</v>
      </c>
      <c r="J37" t="s">
        <v>175</v>
      </c>
      <c r="K37" t="s">
        <v>152</v>
      </c>
      <c r="L37" t="s">
        <v>153</v>
      </c>
      <c r="M37">
        <v>100219</v>
      </c>
      <c r="N37" t="s">
        <v>284</v>
      </c>
      <c r="O37" t="s">
        <v>179</v>
      </c>
      <c r="P37" t="s">
        <v>110</v>
      </c>
      <c r="Q37" t="s">
        <v>111</v>
      </c>
      <c r="R37" t="s">
        <v>156</v>
      </c>
    </row>
    <row r="38" spans="1:18" x14ac:dyDescent="0.25">
      <c r="A38">
        <v>34037</v>
      </c>
      <c r="B38" t="s">
        <v>285</v>
      </c>
      <c r="C38">
        <v>34037</v>
      </c>
      <c r="D38">
        <v>703</v>
      </c>
      <c r="E38" t="s">
        <v>101</v>
      </c>
      <c r="F38">
        <v>20</v>
      </c>
      <c r="G38" t="s">
        <v>286</v>
      </c>
      <c r="H38" t="s">
        <v>103</v>
      </c>
      <c r="I38" t="s">
        <v>105</v>
      </c>
      <c r="J38" t="s">
        <v>105</v>
      </c>
      <c r="K38" t="s">
        <v>241</v>
      </c>
      <c r="L38" t="s">
        <v>242</v>
      </c>
      <c r="M38">
        <v>100002</v>
      </c>
      <c r="N38" t="s">
        <v>171</v>
      </c>
      <c r="O38" t="s">
        <v>109</v>
      </c>
      <c r="P38" t="s">
        <v>110</v>
      </c>
      <c r="Q38" t="s">
        <v>132</v>
      </c>
      <c r="R38" t="s">
        <v>156</v>
      </c>
    </row>
    <row r="39" spans="1:18" x14ac:dyDescent="0.25">
      <c r="A39">
        <v>34038</v>
      </c>
      <c r="B39" t="s">
        <v>289</v>
      </c>
      <c r="C39">
        <v>34038</v>
      </c>
      <c r="D39">
        <v>1186</v>
      </c>
      <c r="E39" t="s">
        <v>162</v>
      </c>
      <c r="F39">
        <v>20</v>
      </c>
      <c r="G39" t="s">
        <v>290</v>
      </c>
      <c r="H39" t="s">
        <v>103</v>
      </c>
      <c r="I39" t="s">
        <v>104</v>
      </c>
      <c r="J39" t="s">
        <v>164</v>
      </c>
      <c r="K39" t="s">
        <v>165</v>
      </c>
      <c r="L39" t="s">
        <v>166</v>
      </c>
      <c r="M39">
        <v>100249</v>
      </c>
      <c r="N39" t="s">
        <v>167</v>
      </c>
      <c r="O39" t="s">
        <v>144</v>
      </c>
      <c r="P39" t="s">
        <v>110</v>
      </c>
      <c r="Q39" t="s">
        <v>111</v>
      </c>
      <c r="R39" t="s">
        <v>112</v>
      </c>
    </row>
    <row r="40" spans="1:18" x14ac:dyDescent="0.25">
      <c r="A40">
        <v>34039</v>
      </c>
      <c r="B40" t="s">
        <v>293</v>
      </c>
      <c r="C40">
        <v>34039</v>
      </c>
      <c r="D40">
        <v>654</v>
      </c>
      <c r="E40" t="s">
        <v>147</v>
      </c>
      <c r="F40">
        <v>20</v>
      </c>
      <c r="G40" t="s">
        <v>294</v>
      </c>
      <c r="H40" t="s">
        <v>121</v>
      </c>
      <c r="I40" t="s">
        <v>227</v>
      </c>
      <c r="J40" t="s">
        <v>122</v>
      </c>
      <c r="K40" t="s">
        <v>123</v>
      </c>
      <c r="L40" t="s">
        <v>124</v>
      </c>
      <c r="M40">
        <v>100259</v>
      </c>
      <c r="N40" t="s">
        <v>230</v>
      </c>
      <c r="O40" t="s">
        <v>109</v>
      </c>
      <c r="P40" t="s">
        <v>110</v>
      </c>
      <c r="Q40" t="s">
        <v>111</v>
      </c>
      <c r="R40" t="s">
        <v>221</v>
      </c>
    </row>
    <row r="41" spans="1:18" x14ac:dyDescent="0.25">
      <c r="A41">
        <v>34040</v>
      </c>
      <c r="B41" t="s">
        <v>295</v>
      </c>
      <c r="C41">
        <v>34040</v>
      </c>
      <c r="D41">
        <v>1060</v>
      </c>
      <c r="E41" t="s">
        <v>162</v>
      </c>
      <c r="F41">
        <v>20</v>
      </c>
      <c r="G41" t="s">
        <v>296</v>
      </c>
      <c r="H41" t="s">
        <v>103</v>
      </c>
      <c r="I41" t="s">
        <v>104</v>
      </c>
      <c r="J41" t="s">
        <v>164</v>
      </c>
      <c r="K41" t="s">
        <v>165</v>
      </c>
      <c r="L41" t="s">
        <v>166</v>
      </c>
      <c r="M41">
        <v>100249</v>
      </c>
      <c r="N41" t="s">
        <v>167</v>
      </c>
      <c r="O41" t="s">
        <v>144</v>
      </c>
      <c r="P41" t="s">
        <v>110</v>
      </c>
      <c r="Q41" t="s">
        <v>111</v>
      </c>
      <c r="R41" t="s">
        <v>112</v>
      </c>
    </row>
    <row r="42" spans="1:18" x14ac:dyDescent="0.25">
      <c r="A42">
        <v>34041</v>
      </c>
      <c r="B42" t="s">
        <v>297</v>
      </c>
      <c r="C42">
        <v>34041</v>
      </c>
      <c r="D42">
        <v>474</v>
      </c>
      <c r="E42" t="s">
        <v>147</v>
      </c>
      <c r="F42">
        <v>20</v>
      </c>
      <c r="G42" t="s">
        <v>298</v>
      </c>
      <c r="H42" t="s">
        <v>121</v>
      </c>
      <c r="I42" t="s">
        <v>150</v>
      </c>
      <c r="J42" t="s">
        <v>175</v>
      </c>
      <c r="K42" t="s">
        <v>165</v>
      </c>
      <c r="L42" t="s">
        <v>166</v>
      </c>
      <c r="M42">
        <v>100004</v>
      </c>
      <c r="N42" t="s">
        <v>189</v>
      </c>
      <c r="O42" t="s">
        <v>179</v>
      </c>
      <c r="P42" t="s">
        <v>110</v>
      </c>
      <c r="Q42" t="s">
        <v>132</v>
      </c>
      <c r="R42" t="s">
        <v>156</v>
      </c>
    </row>
    <row r="43" spans="1:18" x14ac:dyDescent="0.25">
      <c r="A43">
        <v>34042</v>
      </c>
      <c r="B43" t="s">
        <v>300</v>
      </c>
      <c r="C43">
        <v>34042</v>
      </c>
      <c r="D43">
        <v>4397</v>
      </c>
      <c r="E43" t="s">
        <v>147</v>
      </c>
      <c r="F43">
        <v>20</v>
      </c>
      <c r="G43" t="s">
        <v>301</v>
      </c>
      <c r="H43" t="s">
        <v>149</v>
      </c>
      <c r="I43" t="s">
        <v>150</v>
      </c>
      <c r="J43" t="s">
        <v>151</v>
      </c>
      <c r="K43" t="s">
        <v>152</v>
      </c>
      <c r="L43" t="s">
        <v>153</v>
      </c>
      <c r="M43">
        <v>100033</v>
      </c>
      <c r="N43" t="s">
        <v>154</v>
      </c>
      <c r="O43" t="s">
        <v>155</v>
      </c>
      <c r="P43" t="s">
        <v>110</v>
      </c>
      <c r="Q43" t="s">
        <v>111</v>
      </c>
      <c r="R43" t="s">
        <v>156</v>
      </c>
    </row>
    <row r="44" spans="1:18" x14ac:dyDescent="0.25">
      <c r="A44">
        <v>34043</v>
      </c>
      <c r="B44" t="s">
        <v>302</v>
      </c>
      <c r="C44">
        <v>34043</v>
      </c>
      <c r="D44">
        <v>465</v>
      </c>
      <c r="E44" t="s">
        <v>147</v>
      </c>
      <c r="F44">
        <v>20</v>
      </c>
      <c r="G44" t="s">
        <v>303</v>
      </c>
      <c r="H44" t="s">
        <v>149</v>
      </c>
      <c r="I44" t="s">
        <v>150</v>
      </c>
      <c r="J44" t="s">
        <v>274</v>
      </c>
      <c r="K44" t="s">
        <v>192</v>
      </c>
      <c r="L44" t="s">
        <v>193</v>
      </c>
      <c r="M44">
        <v>100235</v>
      </c>
      <c r="N44" t="s">
        <v>194</v>
      </c>
      <c r="O44" t="s">
        <v>109</v>
      </c>
      <c r="P44" t="s">
        <v>110</v>
      </c>
      <c r="Q44" t="s">
        <v>132</v>
      </c>
      <c r="R44" t="s">
        <v>180</v>
      </c>
    </row>
    <row r="45" spans="1:18" x14ac:dyDescent="0.25">
      <c r="A45">
        <v>34044</v>
      </c>
      <c r="B45" t="s">
        <v>305</v>
      </c>
      <c r="C45">
        <v>34044</v>
      </c>
      <c r="D45">
        <v>2863</v>
      </c>
      <c r="E45" t="s">
        <v>119</v>
      </c>
      <c r="F45">
        <v>30</v>
      </c>
      <c r="G45" t="s">
        <v>306</v>
      </c>
      <c r="H45" t="s">
        <v>103</v>
      </c>
      <c r="I45" t="s">
        <v>104</v>
      </c>
      <c r="J45" t="s">
        <v>105</v>
      </c>
      <c r="K45" t="s">
        <v>206</v>
      </c>
      <c r="L45" t="s">
        <v>207</v>
      </c>
      <c r="M45">
        <v>100258</v>
      </c>
      <c r="N45" t="s">
        <v>108</v>
      </c>
      <c r="O45" t="s">
        <v>144</v>
      </c>
      <c r="P45" t="s">
        <v>110</v>
      </c>
      <c r="Q45" t="s">
        <v>132</v>
      </c>
      <c r="R45" t="s">
        <v>112</v>
      </c>
    </row>
    <row r="46" spans="1:18" x14ac:dyDescent="0.25">
      <c r="A46">
        <v>34045</v>
      </c>
      <c r="B46" t="s">
        <v>307</v>
      </c>
      <c r="C46">
        <v>34045</v>
      </c>
      <c r="D46">
        <v>2891</v>
      </c>
      <c r="E46" t="s">
        <v>119</v>
      </c>
      <c r="F46">
        <v>30</v>
      </c>
      <c r="G46" t="s">
        <v>308</v>
      </c>
      <c r="H46" t="s">
        <v>121</v>
      </c>
      <c r="I46" t="s">
        <v>150</v>
      </c>
      <c r="J46" t="s">
        <v>175</v>
      </c>
      <c r="K46" t="s">
        <v>123</v>
      </c>
      <c r="L46" t="s">
        <v>124</v>
      </c>
      <c r="M46">
        <v>100004</v>
      </c>
      <c r="N46" t="s">
        <v>189</v>
      </c>
      <c r="O46" t="s">
        <v>179</v>
      </c>
      <c r="P46" t="s">
        <v>110</v>
      </c>
      <c r="Q46" t="s">
        <v>132</v>
      </c>
      <c r="R46" t="s">
        <v>156</v>
      </c>
    </row>
    <row r="47" spans="1:18" x14ac:dyDescent="0.25">
      <c r="A47">
        <v>34046</v>
      </c>
      <c r="B47" t="s">
        <v>309</v>
      </c>
      <c r="C47">
        <v>34046</v>
      </c>
      <c r="D47">
        <v>4998</v>
      </c>
      <c r="E47" t="s">
        <v>119</v>
      </c>
      <c r="F47">
        <v>30</v>
      </c>
      <c r="G47" t="s">
        <v>310</v>
      </c>
      <c r="H47" t="s">
        <v>103</v>
      </c>
      <c r="I47" t="s">
        <v>104</v>
      </c>
      <c r="J47" t="s">
        <v>259</v>
      </c>
      <c r="K47" t="s">
        <v>141</v>
      </c>
      <c r="L47" t="s">
        <v>142</v>
      </c>
      <c r="M47">
        <v>100256</v>
      </c>
      <c r="N47" t="s">
        <v>311</v>
      </c>
      <c r="O47" t="s">
        <v>109</v>
      </c>
      <c r="P47" t="s">
        <v>110</v>
      </c>
      <c r="Q47" t="s">
        <v>132</v>
      </c>
      <c r="R47" t="s">
        <v>156</v>
      </c>
    </row>
    <row r="48" spans="1:18" x14ac:dyDescent="0.25">
      <c r="A48">
        <v>34047</v>
      </c>
      <c r="B48" t="s">
        <v>312</v>
      </c>
      <c r="C48">
        <v>34047</v>
      </c>
      <c r="D48">
        <v>380</v>
      </c>
      <c r="E48" t="s">
        <v>147</v>
      </c>
      <c r="F48">
        <v>20</v>
      </c>
      <c r="G48" t="s">
        <v>313</v>
      </c>
      <c r="H48" t="s">
        <v>121</v>
      </c>
      <c r="I48" t="s">
        <v>150</v>
      </c>
      <c r="J48" t="s">
        <v>175</v>
      </c>
      <c r="K48" t="s">
        <v>176</v>
      </c>
      <c r="L48" t="s">
        <v>177</v>
      </c>
      <c r="M48">
        <v>100031</v>
      </c>
      <c r="N48" t="s">
        <v>178</v>
      </c>
      <c r="O48" t="s">
        <v>179</v>
      </c>
      <c r="P48" t="s">
        <v>110</v>
      </c>
      <c r="Q48" t="s">
        <v>132</v>
      </c>
      <c r="R48" t="s">
        <v>180</v>
      </c>
    </row>
    <row r="49" spans="1:18" x14ac:dyDescent="0.25">
      <c r="A49">
        <v>34048</v>
      </c>
      <c r="B49" t="s">
        <v>314</v>
      </c>
      <c r="C49">
        <v>34048</v>
      </c>
      <c r="D49">
        <v>491</v>
      </c>
      <c r="E49" t="s">
        <v>147</v>
      </c>
      <c r="F49">
        <v>20</v>
      </c>
      <c r="G49" t="s">
        <v>315</v>
      </c>
      <c r="H49" t="s">
        <v>149</v>
      </c>
      <c r="I49" t="s">
        <v>274</v>
      </c>
      <c r="J49" t="s">
        <v>274</v>
      </c>
      <c r="K49" t="s">
        <v>275</v>
      </c>
      <c r="L49" t="s">
        <v>276</v>
      </c>
      <c r="M49">
        <v>100017</v>
      </c>
      <c r="N49" t="s">
        <v>277</v>
      </c>
      <c r="O49" t="s">
        <v>109</v>
      </c>
      <c r="P49" t="s">
        <v>110</v>
      </c>
      <c r="Q49" t="s">
        <v>111</v>
      </c>
      <c r="R49" t="s">
        <v>180</v>
      </c>
    </row>
    <row r="50" spans="1:18" x14ac:dyDescent="0.25">
      <c r="A50">
        <v>34049</v>
      </c>
      <c r="B50" t="s">
        <v>316</v>
      </c>
      <c r="C50">
        <v>34049</v>
      </c>
      <c r="D50">
        <v>1311</v>
      </c>
      <c r="E50" t="s">
        <v>162</v>
      </c>
      <c r="F50">
        <v>20</v>
      </c>
      <c r="G50" t="s">
        <v>317</v>
      </c>
      <c r="H50" t="s">
        <v>103</v>
      </c>
      <c r="I50" t="s">
        <v>104</v>
      </c>
      <c r="J50" t="s">
        <v>164</v>
      </c>
      <c r="K50" t="s">
        <v>165</v>
      </c>
      <c r="L50" t="s">
        <v>166</v>
      </c>
      <c r="M50">
        <v>100249</v>
      </c>
      <c r="N50" t="s">
        <v>167</v>
      </c>
      <c r="O50" t="s">
        <v>144</v>
      </c>
      <c r="P50" t="s">
        <v>110</v>
      </c>
      <c r="Q50" t="s">
        <v>111</v>
      </c>
      <c r="R50" t="s">
        <v>112</v>
      </c>
    </row>
    <row r="51" spans="1:18" x14ac:dyDescent="0.25">
      <c r="A51">
        <v>34050</v>
      </c>
      <c r="B51" t="s">
        <v>318</v>
      </c>
      <c r="C51">
        <v>34050</v>
      </c>
      <c r="D51">
        <v>851</v>
      </c>
      <c r="E51" t="s">
        <v>147</v>
      </c>
      <c r="F51">
        <v>20</v>
      </c>
      <c r="G51" t="s">
        <v>319</v>
      </c>
      <c r="H51" t="s">
        <v>149</v>
      </c>
      <c r="I51" t="s">
        <v>274</v>
      </c>
      <c r="J51" t="s">
        <v>274</v>
      </c>
      <c r="K51" t="s">
        <v>320</v>
      </c>
      <c r="L51" t="s">
        <v>321</v>
      </c>
      <c r="M51">
        <v>100016</v>
      </c>
      <c r="N51" t="s">
        <v>322</v>
      </c>
      <c r="O51" t="s">
        <v>109</v>
      </c>
      <c r="P51" t="s">
        <v>110</v>
      </c>
      <c r="Q51" t="s">
        <v>111</v>
      </c>
      <c r="R51" t="s">
        <v>180</v>
      </c>
    </row>
    <row r="52" spans="1:18" x14ac:dyDescent="0.25">
      <c r="A52">
        <v>34051</v>
      </c>
      <c r="B52" t="s">
        <v>325</v>
      </c>
      <c r="C52">
        <v>34051</v>
      </c>
      <c r="D52">
        <v>734</v>
      </c>
      <c r="E52" t="s">
        <v>147</v>
      </c>
      <c r="F52">
        <v>20</v>
      </c>
      <c r="G52" t="s">
        <v>326</v>
      </c>
      <c r="H52" t="s">
        <v>121</v>
      </c>
      <c r="I52" t="s">
        <v>150</v>
      </c>
      <c r="J52" t="s">
        <v>175</v>
      </c>
      <c r="K52" t="s">
        <v>165</v>
      </c>
      <c r="L52" t="s">
        <v>166</v>
      </c>
      <c r="M52">
        <v>100004</v>
      </c>
      <c r="N52" t="s">
        <v>189</v>
      </c>
      <c r="O52" t="s">
        <v>179</v>
      </c>
      <c r="P52" t="s">
        <v>110</v>
      </c>
      <c r="Q52" t="s">
        <v>132</v>
      </c>
      <c r="R52" t="s">
        <v>156</v>
      </c>
    </row>
    <row r="53" spans="1:18" x14ac:dyDescent="0.25">
      <c r="A53">
        <v>34052</v>
      </c>
      <c r="B53" t="s">
        <v>328</v>
      </c>
      <c r="C53">
        <v>34052</v>
      </c>
      <c r="D53">
        <v>4052</v>
      </c>
      <c r="E53" t="s">
        <v>101</v>
      </c>
      <c r="F53">
        <v>20</v>
      </c>
      <c r="G53" t="s">
        <v>329</v>
      </c>
      <c r="H53" t="s">
        <v>103</v>
      </c>
      <c r="I53" t="s">
        <v>104</v>
      </c>
      <c r="J53" t="s">
        <v>140</v>
      </c>
      <c r="K53" t="s">
        <v>141</v>
      </c>
      <c r="L53" t="s">
        <v>142</v>
      </c>
      <c r="M53">
        <v>100248</v>
      </c>
      <c r="N53" t="s">
        <v>198</v>
      </c>
      <c r="O53" t="s">
        <v>144</v>
      </c>
      <c r="P53" t="s">
        <v>110</v>
      </c>
      <c r="Q53" t="s">
        <v>111</v>
      </c>
      <c r="R53" t="s">
        <v>112</v>
      </c>
    </row>
    <row r="54" spans="1:18" x14ac:dyDescent="0.25">
      <c r="A54">
        <v>34053</v>
      </c>
      <c r="B54" t="s">
        <v>332</v>
      </c>
      <c r="C54">
        <v>34053</v>
      </c>
      <c r="D54">
        <v>1082</v>
      </c>
      <c r="E54" t="s">
        <v>162</v>
      </c>
      <c r="F54">
        <v>20</v>
      </c>
      <c r="G54" t="s">
        <v>333</v>
      </c>
      <c r="H54" t="s">
        <v>103</v>
      </c>
      <c r="I54" t="s">
        <v>104</v>
      </c>
      <c r="J54" t="s">
        <v>164</v>
      </c>
      <c r="K54" t="s">
        <v>165</v>
      </c>
      <c r="L54" t="s">
        <v>166</v>
      </c>
      <c r="M54">
        <v>100249</v>
      </c>
      <c r="N54" t="s">
        <v>167</v>
      </c>
      <c r="O54" t="s">
        <v>144</v>
      </c>
      <c r="P54" t="s">
        <v>110</v>
      </c>
      <c r="Q54" t="s">
        <v>132</v>
      </c>
      <c r="R54" t="s">
        <v>112</v>
      </c>
    </row>
    <row r="55" spans="1:18" x14ac:dyDescent="0.25">
      <c r="A55">
        <v>34054</v>
      </c>
      <c r="B55" t="s">
        <v>334</v>
      </c>
      <c r="C55">
        <v>34054</v>
      </c>
      <c r="D55">
        <v>2411</v>
      </c>
      <c r="E55" t="s">
        <v>119</v>
      </c>
      <c r="F55">
        <v>30</v>
      </c>
      <c r="G55" t="s">
        <v>335</v>
      </c>
      <c r="H55" t="s">
        <v>103</v>
      </c>
      <c r="I55" t="s">
        <v>104</v>
      </c>
      <c r="J55" t="s">
        <v>140</v>
      </c>
      <c r="K55" t="s">
        <v>141</v>
      </c>
      <c r="L55" t="s">
        <v>142</v>
      </c>
      <c r="M55">
        <v>100257</v>
      </c>
      <c r="N55" t="s">
        <v>143</v>
      </c>
      <c r="O55" t="s">
        <v>144</v>
      </c>
      <c r="P55" t="s">
        <v>110</v>
      </c>
      <c r="Q55" t="s">
        <v>111</v>
      </c>
      <c r="R55" t="s">
        <v>112</v>
      </c>
    </row>
    <row r="56" spans="1:18" x14ac:dyDescent="0.25">
      <c r="A56">
        <v>34055</v>
      </c>
      <c r="B56" t="s">
        <v>336</v>
      </c>
      <c r="C56">
        <v>34055</v>
      </c>
      <c r="D56">
        <v>2743</v>
      </c>
      <c r="E56" t="s">
        <v>119</v>
      </c>
      <c r="F56">
        <v>30</v>
      </c>
      <c r="G56" t="s">
        <v>337</v>
      </c>
      <c r="H56" t="s">
        <v>103</v>
      </c>
      <c r="I56" t="s">
        <v>104</v>
      </c>
      <c r="J56" t="s">
        <v>164</v>
      </c>
      <c r="K56" t="s">
        <v>141</v>
      </c>
      <c r="L56" t="s">
        <v>142</v>
      </c>
      <c r="M56">
        <v>100256</v>
      </c>
      <c r="N56" t="s">
        <v>311</v>
      </c>
      <c r="O56" t="s">
        <v>109</v>
      </c>
      <c r="P56" t="s">
        <v>110</v>
      </c>
      <c r="Q56" t="s">
        <v>132</v>
      </c>
      <c r="R56" t="s">
        <v>156</v>
      </c>
    </row>
    <row r="57" spans="1:18" x14ac:dyDescent="0.25">
      <c r="A57">
        <v>34056</v>
      </c>
      <c r="B57" t="s">
        <v>339</v>
      </c>
      <c r="C57">
        <v>34056</v>
      </c>
      <c r="D57">
        <v>2266</v>
      </c>
      <c r="E57" t="s">
        <v>202</v>
      </c>
      <c r="F57">
        <v>20</v>
      </c>
      <c r="G57" t="s">
        <v>340</v>
      </c>
      <c r="H57" t="s">
        <v>121</v>
      </c>
      <c r="I57" t="s">
        <v>105</v>
      </c>
      <c r="J57" t="s">
        <v>122</v>
      </c>
      <c r="K57" t="s">
        <v>106</v>
      </c>
      <c r="L57" t="s">
        <v>107</v>
      </c>
      <c r="M57">
        <v>100181</v>
      </c>
      <c r="N57" t="s">
        <v>125</v>
      </c>
      <c r="O57" t="s">
        <v>109</v>
      </c>
      <c r="P57" t="s">
        <v>110</v>
      </c>
      <c r="Q57" t="s">
        <v>132</v>
      </c>
      <c r="R57" t="s">
        <v>180</v>
      </c>
    </row>
    <row r="58" spans="1:18" x14ac:dyDescent="0.25">
      <c r="A58">
        <v>34057</v>
      </c>
      <c r="B58" t="s">
        <v>341</v>
      </c>
      <c r="C58">
        <v>34057</v>
      </c>
      <c r="D58">
        <v>1110</v>
      </c>
      <c r="E58" t="s">
        <v>147</v>
      </c>
      <c r="F58">
        <v>12</v>
      </c>
      <c r="G58" t="s">
        <v>342</v>
      </c>
      <c r="H58" t="s">
        <v>149</v>
      </c>
      <c r="I58" t="s">
        <v>216</v>
      </c>
      <c r="J58" t="s">
        <v>217</v>
      </c>
      <c r="K58" t="s">
        <v>343</v>
      </c>
      <c r="L58" t="s">
        <v>344</v>
      </c>
      <c r="M58">
        <v>100253</v>
      </c>
      <c r="N58" t="s">
        <v>220</v>
      </c>
      <c r="O58" t="s">
        <v>109</v>
      </c>
      <c r="P58" t="s">
        <v>156</v>
      </c>
      <c r="Q58" t="s">
        <v>132</v>
      </c>
      <c r="R58" t="s">
        <v>221</v>
      </c>
    </row>
    <row r="59" spans="1:18" x14ac:dyDescent="0.25">
      <c r="A59">
        <v>34058</v>
      </c>
      <c r="B59" t="s">
        <v>348</v>
      </c>
      <c r="C59">
        <v>34058</v>
      </c>
      <c r="D59">
        <v>2408</v>
      </c>
      <c r="E59" t="s">
        <v>147</v>
      </c>
      <c r="F59">
        <v>20</v>
      </c>
      <c r="G59" t="s">
        <v>349</v>
      </c>
      <c r="H59" t="s">
        <v>149</v>
      </c>
      <c r="I59" t="s">
        <v>216</v>
      </c>
      <c r="J59" t="s">
        <v>217</v>
      </c>
      <c r="K59" t="s">
        <v>218</v>
      </c>
      <c r="L59" t="s">
        <v>219</v>
      </c>
      <c r="M59">
        <v>100253</v>
      </c>
      <c r="N59" t="s">
        <v>220</v>
      </c>
      <c r="O59" t="s">
        <v>109</v>
      </c>
      <c r="P59" t="s">
        <v>110</v>
      </c>
      <c r="Q59" t="s">
        <v>111</v>
      </c>
      <c r="R59" t="s">
        <v>221</v>
      </c>
    </row>
    <row r="60" spans="1:18" x14ac:dyDescent="0.25">
      <c r="A60">
        <v>34059</v>
      </c>
      <c r="B60" t="s">
        <v>353</v>
      </c>
      <c r="C60">
        <v>34059</v>
      </c>
      <c r="D60">
        <v>2167</v>
      </c>
      <c r="E60" t="s">
        <v>119</v>
      </c>
      <c r="F60">
        <v>30</v>
      </c>
      <c r="G60" t="s">
        <v>354</v>
      </c>
      <c r="H60" t="s">
        <v>103</v>
      </c>
      <c r="I60" t="s">
        <v>104</v>
      </c>
      <c r="J60" t="s">
        <v>140</v>
      </c>
      <c r="K60" t="s">
        <v>141</v>
      </c>
      <c r="L60" t="s">
        <v>142</v>
      </c>
      <c r="M60">
        <v>100257</v>
      </c>
      <c r="N60" t="s">
        <v>143</v>
      </c>
      <c r="O60" t="s">
        <v>144</v>
      </c>
      <c r="P60" t="s">
        <v>110</v>
      </c>
      <c r="Q60" t="s">
        <v>111</v>
      </c>
      <c r="R60" t="s">
        <v>112</v>
      </c>
    </row>
    <row r="61" spans="1:18" x14ac:dyDescent="0.25">
      <c r="A61">
        <v>34060</v>
      </c>
      <c r="B61" t="s">
        <v>355</v>
      </c>
      <c r="C61">
        <v>34060</v>
      </c>
      <c r="D61">
        <v>4509</v>
      </c>
      <c r="E61" t="s">
        <v>147</v>
      </c>
      <c r="F61">
        <v>20</v>
      </c>
      <c r="G61" t="s">
        <v>356</v>
      </c>
      <c r="H61" t="s">
        <v>149</v>
      </c>
      <c r="I61" t="s">
        <v>150</v>
      </c>
      <c r="J61" t="s">
        <v>151</v>
      </c>
      <c r="K61" t="s">
        <v>152</v>
      </c>
      <c r="L61" t="s">
        <v>153</v>
      </c>
      <c r="M61">
        <v>100235</v>
      </c>
      <c r="N61" t="s">
        <v>194</v>
      </c>
      <c r="O61" t="s">
        <v>109</v>
      </c>
      <c r="P61" t="s">
        <v>110</v>
      </c>
      <c r="Q61" t="s">
        <v>111</v>
      </c>
      <c r="R61" t="s">
        <v>180</v>
      </c>
    </row>
    <row r="62" spans="1:18" x14ac:dyDescent="0.25">
      <c r="A62">
        <v>34061</v>
      </c>
      <c r="B62" t="s">
        <v>357</v>
      </c>
      <c r="C62">
        <v>34061</v>
      </c>
      <c r="D62">
        <v>1786</v>
      </c>
      <c r="E62" t="s">
        <v>101</v>
      </c>
      <c r="F62">
        <v>20</v>
      </c>
      <c r="G62" t="s">
        <v>358</v>
      </c>
      <c r="H62" t="s">
        <v>103</v>
      </c>
      <c r="I62" t="s">
        <v>104</v>
      </c>
      <c r="J62" t="s">
        <v>105</v>
      </c>
      <c r="K62" t="s">
        <v>206</v>
      </c>
      <c r="L62" t="s">
        <v>207</v>
      </c>
      <c r="M62">
        <v>100258</v>
      </c>
      <c r="N62" t="s">
        <v>108</v>
      </c>
      <c r="O62" t="s">
        <v>144</v>
      </c>
      <c r="P62" t="s">
        <v>110</v>
      </c>
      <c r="Q62" t="s">
        <v>111</v>
      </c>
      <c r="R62" t="s">
        <v>112</v>
      </c>
    </row>
    <row r="63" spans="1:18" x14ac:dyDescent="0.25">
      <c r="A63">
        <v>34062</v>
      </c>
      <c r="B63" t="s">
        <v>359</v>
      </c>
      <c r="C63">
        <v>34062</v>
      </c>
      <c r="D63">
        <v>1051</v>
      </c>
      <c r="E63" t="s">
        <v>101</v>
      </c>
      <c r="F63">
        <v>20</v>
      </c>
      <c r="G63" t="s">
        <v>360</v>
      </c>
      <c r="H63" t="s">
        <v>103</v>
      </c>
      <c r="I63" t="s">
        <v>104</v>
      </c>
      <c r="J63" t="s">
        <v>105</v>
      </c>
      <c r="K63" t="s">
        <v>206</v>
      </c>
      <c r="L63" t="s">
        <v>207</v>
      </c>
      <c r="M63">
        <v>100258</v>
      </c>
      <c r="N63" t="s">
        <v>108</v>
      </c>
      <c r="O63" t="s">
        <v>144</v>
      </c>
      <c r="P63" t="s">
        <v>110</v>
      </c>
      <c r="Q63" t="s">
        <v>132</v>
      </c>
      <c r="R63" t="s">
        <v>112</v>
      </c>
    </row>
    <row r="64" spans="1:18" x14ac:dyDescent="0.25">
      <c r="A64">
        <v>34063</v>
      </c>
      <c r="B64" t="s">
        <v>361</v>
      </c>
      <c r="C64">
        <v>34063</v>
      </c>
      <c r="D64">
        <v>2502</v>
      </c>
      <c r="E64" t="s">
        <v>202</v>
      </c>
      <c r="F64">
        <v>20</v>
      </c>
      <c r="G64" t="s">
        <v>362</v>
      </c>
      <c r="H64" t="s">
        <v>121</v>
      </c>
      <c r="I64" t="s">
        <v>105</v>
      </c>
      <c r="J64" t="s">
        <v>122</v>
      </c>
      <c r="K64" t="s">
        <v>106</v>
      </c>
      <c r="L64" t="s">
        <v>107</v>
      </c>
      <c r="M64">
        <v>100181</v>
      </c>
      <c r="N64" t="s">
        <v>125</v>
      </c>
      <c r="O64" t="s">
        <v>109</v>
      </c>
      <c r="P64" t="s">
        <v>110</v>
      </c>
      <c r="Q64" t="s">
        <v>132</v>
      </c>
      <c r="R64" t="s">
        <v>180</v>
      </c>
    </row>
    <row r="65" spans="1:18" x14ac:dyDescent="0.25">
      <c r="A65">
        <v>34064</v>
      </c>
      <c r="B65" t="s">
        <v>363</v>
      </c>
      <c r="C65">
        <v>34064</v>
      </c>
      <c r="D65">
        <v>2244</v>
      </c>
      <c r="E65" t="s">
        <v>119</v>
      </c>
      <c r="F65">
        <v>30</v>
      </c>
      <c r="G65" t="s">
        <v>364</v>
      </c>
      <c r="H65" t="s">
        <v>121</v>
      </c>
      <c r="I65" t="s">
        <v>150</v>
      </c>
      <c r="J65" t="s">
        <v>175</v>
      </c>
      <c r="K65" t="s">
        <v>152</v>
      </c>
      <c r="L65" t="s">
        <v>153</v>
      </c>
      <c r="M65">
        <v>100219</v>
      </c>
      <c r="N65" t="s">
        <v>284</v>
      </c>
      <c r="O65" t="s">
        <v>179</v>
      </c>
      <c r="P65" t="s">
        <v>110</v>
      </c>
      <c r="Q65" t="s">
        <v>111</v>
      </c>
      <c r="R65" t="s">
        <v>156</v>
      </c>
    </row>
    <row r="66" spans="1:18" x14ac:dyDescent="0.25">
      <c r="A66">
        <v>34065</v>
      </c>
      <c r="B66" t="s">
        <v>367</v>
      </c>
      <c r="C66">
        <v>34065</v>
      </c>
      <c r="D66">
        <v>1162</v>
      </c>
      <c r="E66" t="s">
        <v>101</v>
      </c>
      <c r="F66">
        <v>20</v>
      </c>
      <c r="G66" t="s">
        <v>368</v>
      </c>
      <c r="H66" t="s">
        <v>103</v>
      </c>
      <c r="I66" t="s">
        <v>104</v>
      </c>
      <c r="J66" t="s">
        <v>140</v>
      </c>
      <c r="K66" t="s">
        <v>141</v>
      </c>
      <c r="L66" t="s">
        <v>142</v>
      </c>
      <c r="M66">
        <v>100248</v>
      </c>
      <c r="N66" t="s">
        <v>198</v>
      </c>
      <c r="O66" t="s">
        <v>144</v>
      </c>
      <c r="P66" t="s">
        <v>110</v>
      </c>
      <c r="Q66" t="s">
        <v>111</v>
      </c>
      <c r="R66" t="s">
        <v>112</v>
      </c>
    </row>
    <row r="67" spans="1:18" x14ac:dyDescent="0.25">
      <c r="A67">
        <v>34066</v>
      </c>
      <c r="B67" t="s">
        <v>369</v>
      </c>
      <c r="C67">
        <v>34066</v>
      </c>
      <c r="D67">
        <v>1619</v>
      </c>
      <c r="E67" t="s">
        <v>147</v>
      </c>
      <c r="F67">
        <v>20</v>
      </c>
      <c r="G67" t="s">
        <v>370</v>
      </c>
      <c r="H67" t="s">
        <v>149</v>
      </c>
      <c r="I67" t="s">
        <v>150</v>
      </c>
      <c r="J67" t="s">
        <v>151</v>
      </c>
      <c r="K67" t="s">
        <v>192</v>
      </c>
      <c r="L67" t="s">
        <v>193</v>
      </c>
      <c r="M67">
        <v>100235</v>
      </c>
      <c r="N67" t="s">
        <v>194</v>
      </c>
      <c r="O67" t="s">
        <v>109</v>
      </c>
      <c r="P67" t="s">
        <v>110</v>
      </c>
      <c r="Q67" t="s">
        <v>132</v>
      </c>
      <c r="R67" t="s">
        <v>180</v>
      </c>
    </row>
    <row r="68" spans="1:18" x14ac:dyDescent="0.25">
      <c r="A68">
        <v>34067</v>
      </c>
      <c r="B68" t="s">
        <v>371</v>
      </c>
      <c r="C68">
        <v>34067</v>
      </c>
      <c r="D68">
        <v>1181</v>
      </c>
      <c r="E68" t="s">
        <v>119</v>
      </c>
      <c r="F68">
        <v>30</v>
      </c>
      <c r="G68" t="s">
        <v>372</v>
      </c>
      <c r="H68" t="s">
        <v>149</v>
      </c>
      <c r="I68" t="s">
        <v>150</v>
      </c>
      <c r="J68" t="s">
        <v>151</v>
      </c>
      <c r="K68" t="s">
        <v>152</v>
      </c>
      <c r="L68" t="s">
        <v>153</v>
      </c>
      <c r="M68">
        <v>100033</v>
      </c>
      <c r="N68" t="s">
        <v>154</v>
      </c>
      <c r="O68" t="s">
        <v>155</v>
      </c>
      <c r="P68" t="s">
        <v>110</v>
      </c>
      <c r="Q68" t="s">
        <v>132</v>
      </c>
      <c r="R68" t="s">
        <v>156</v>
      </c>
    </row>
    <row r="69" spans="1:18" x14ac:dyDescent="0.25">
      <c r="A69">
        <v>34068</v>
      </c>
      <c r="B69" t="s">
        <v>373</v>
      </c>
      <c r="C69">
        <v>34068</v>
      </c>
      <c r="D69">
        <v>436</v>
      </c>
      <c r="E69" t="s">
        <v>202</v>
      </c>
      <c r="F69">
        <v>20</v>
      </c>
      <c r="G69" t="s">
        <v>374</v>
      </c>
      <c r="H69" t="s">
        <v>121</v>
      </c>
      <c r="I69" t="s">
        <v>105</v>
      </c>
      <c r="J69" t="s">
        <v>122</v>
      </c>
      <c r="K69" t="s">
        <v>123</v>
      </c>
      <c r="L69" t="s">
        <v>124</v>
      </c>
      <c r="M69">
        <v>100181</v>
      </c>
      <c r="N69" t="s">
        <v>125</v>
      </c>
      <c r="O69" t="s">
        <v>109</v>
      </c>
      <c r="P69" t="s">
        <v>110</v>
      </c>
      <c r="Q69" t="s">
        <v>132</v>
      </c>
      <c r="R69" t="s">
        <v>180</v>
      </c>
    </row>
    <row r="70" spans="1:18" x14ac:dyDescent="0.25">
      <c r="A70">
        <v>34069</v>
      </c>
      <c r="B70" t="s">
        <v>375</v>
      </c>
      <c r="C70">
        <v>34069</v>
      </c>
      <c r="D70">
        <v>3835</v>
      </c>
      <c r="E70" t="s">
        <v>101</v>
      </c>
      <c r="F70">
        <v>20</v>
      </c>
      <c r="G70" t="s">
        <v>376</v>
      </c>
      <c r="H70" t="s">
        <v>103</v>
      </c>
      <c r="I70" t="s">
        <v>104</v>
      </c>
      <c r="J70" t="s">
        <v>105</v>
      </c>
      <c r="K70" t="s">
        <v>206</v>
      </c>
      <c r="L70" t="s">
        <v>207</v>
      </c>
      <c r="M70">
        <v>100015</v>
      </c>
      <c r="N70" t="s">
        <v>377</v>
      </c>
      <c r="O70" t="s">
        <v>109</v>
      </c>
      <c r="P70" t="s">
        <v>110</v>
      </c>
      <c r="Q70" t="s">
        <v>111</v>
      </c>
      <c r="R70" t="s">
        <v>156</v>
      </c>
    </row>
    <row r="71" spans="1:18" x14ac:dyDescent="0.25">
      <c r="A71">
        <v>34070</v>
      </c>
      <c r="B71" t="s">
        <v>380</v>
      </c>
      <c r="C71">
        <v>34070</v>
      </c>
      <c r="D71">
        <v>1301</v>
      </c>
      <c r="E71" t="s">
        <v>101</v>
      </c>
      <c r="F71">
        <v>20</v>
      </c>
      <c r="G71" t="s">
        <v>381</v>
      </c>
      <c r="H71" t="s">
        <v>103</v>
      </c>
      <c r="I71" t="s">
        <v>104</v>
      </c>
      <c r="J71" t="s">
        <v>140</v>
      </c>
      <c r="K71" t="s">
        <v>141</v>
      </c>
      <c r="L71" t="s">
        <v>142</v>
      </c>
      <c r="M71">
        <v>100248</v>
      </c>
      <c r="N71" t="s">
        <v>198</v>
      </c>
      <c r="O71" t="s">
        <v>144</v>
      </c>
      <c r="P71" t="s">
        <v>110</v>
      </c>
      <c r="Q71" t="s">
        <v>111</v>
      </c>
      <c r="R71" t="s">
        <v>112</v>
      </c>
    </row>
    <row r="72" spans="1:18" x14ac:dyDescent="0.25">
      <c r="A72">
        <v>34071</v>
      </c>
      <c r="B72" t="s">
        <v>383</v>
      </c>
      <c r="C72">
        <v>34071</v>
      </c>
      <c r="D72">
        <v>2795</v>
      </c>
      <c r="E72" t="s">
        <v>119</v>
      </c>
      <c r="F72">
        <v>30</v>
      </c>
      <c r="G72" t="s">
        <v>384</v>
      </c>
      <c r="H72" t="s">
        <v>103</v>
      </c>
      <c r="I72" t="s">
        <v>104</v>
      </c>
      <c r="J72" t="s">
        <v>164</v>
      </c>
      <c r="K72" t="s">
        <v>165</v>
      </c>
      <c r="L72" t="s">
        <v>166</v>
      </c>
      <c r="M72">
        <v>100249</v>
      </c>
      <c r="N72" t="s">
        <v>167</v>
      </c>
      <c r="O72" t="s">
        <v>144</v>
      </c>
      <c r="P72" t="s">
        <v>110</v>
      </c>
      <c r="Q72" t="s">
        <v>132</v>
      </c>
      <c r="R72" t="s">
        <v>112</v>
      </c>
    </row>
    <row r="73" spans="1:18" x14ac:dyDescent="0.25">
      <c r="A73">
        <v>34072</v>
      </c>
      <c r="B73" t="s">
        <v>385</v>
      </c>
      <c r="C73">
        <v>34072</v>
      </c>
      <c r="D73">
        <v>761</v>
      </c>
      <c r="E73" t="s">
        <v>119</v>
      </c>
      <c r="F73">
        <v>30</v>
      </c>
      <c r="G73" t="s">
        <v>386</v>
      </c>
      <c r="H73" t="s">
        <v>121</v>
      </c>
      <c r="I73" t="s">
        <v>150</v>
      </c>
      <c r="J73" t="s">
        <v>175</v>
      </c>
      <c r="K73" t="s">
        <v>152</v>
      </c>
      <c r="L73" t="s">
        <v>153</v>
      </c>
      <c r="M73">
        <v>100219</v>
      </c>
      <c r="N73" t="s">
        <v>284</v>
      </c>
      <c r="O73" t="s">
        <v>179</v>
      </c>
      <c r="P73" t="s">
        <v>110</v>
      </c>
      <c r="Q73" t="s">
        <v>132</v>
      </c>
      <c r="R73" t="s">
        <v>156</v>
      </c>
    </row>
    <row r="74" spans="1:18" x14ac:dyDescent="0.25">
      <c r="A74">
        <v>34073</v>
      </c>
      <c r="B74" t="s">
        <v>387</v>
      </c>
      <c r="C74">
        <v>34073</v>
      </c>
      <c r="D74">
        <v>803</v>
      </c>
      <c r="E74" t="s">
        <v>101</v>
      </c>
      <c r="F74">
        <v>20</v>
      </c>
      <c r="G74" t="s">
        <v>388</v>
      </c>
      <c r="H74" t="s">
        <v>103</v>
      </c>
      <c r="I74" t="s">
        <v>105</v>
      </c>
      <c r="J74" t="s">
        <v>105</v>
      </c>
      <c r="K74" t="s">
        <v>241</v>
      </c>
      <c r="L74" t="s">
        <v>242</v>
      </c>
      <c r="M74">
        <v>100002</v>
      </c>
      <c r="N74" t="s">
        <v>171</v>
      </c>
      <c r="O74" t="s">
        <v>109</v>
      </c>
      <c r="P74" t="s">
        <v>110</v>
      </c>
      <c r="Q74" t="s">
        <v>111</v>
      </c>
      <c r="R74" t="s">
        <v>156</v>
      </c>
    </row>
    <row r="75" spans="1:18" x14ac:dyDescent="0.25">
      <c r="A75">
        <v>34074</v>
      </c>
      <c r="B75" t="s">
        <v>391</v>
      </c>
      <c r="C75">
        <v>34074</v>
      </c>
      <c r="D75">
        <v>3683</v>
      </c>
      <c r="E75" t="s">
        <v>101</v>
      </c>
      <c r="F75">
        <v>20</v>
      </c>
      <c r="G75" t="s">
        <v>392</v>
      </c>
      <c r="H75" t="s">
        <v>103</v>
      </c>
      <c r="I75" t="s">
        <v>104</v>
      </c>
      <c r="J75" t="s">
        <v>140</v>
      </c>
      <c r="K75" t="s">
        <v>141</v>
      </c>
      <c r="L75" t="s">
        <v>142</v>
      </c>
      <c r="M75">
        <v>100248</v>
      </c>
      <c r="N75" t="s">
        <v>198</v>
      </c>
      <c r="O75" t="s">
        <v>144</v>
      </c>
      <c r="P75" t="s">
        <v>110</v>
      </c>
      <c r="Q75" t="s">
        <v>111</v>
      </c>
      <c r="R75" t="s">
        <v>112</v>
      </c>
    </row>
    <row r="76" spans="1:18" x14ac:dyDescent="0.25">
      <c r="A76">
        <v>34075</v>
      </c>
      <c r="B76" t="s">
        <v>394</v>
      </c>
      <c r="C76">
        <v>34075</v>
      </c>
      <c r="D76">
        <v>1497</v>
      </c>
      <c r="E76" t="s">
        <v>119</v>
      </c>
      <c r="F76">
        <v>30</v>
      </c>
      <c r="G76" t="s">
        <v>395</v>
      </c>
      <c r="H76" t="s">
        <v>103</v>
      </c>
      <c r="I76" t="s">
        <v>104</v>
      </c>
      <c r="J76" t="s">
        <v>140</v>
      </c>
      <c r="K76" t="s">
        <v>141</v>
      </c>
      <c r="L76" t="s">
        <v>142</v>
      </c>
      <c r="M76">
        <v>100257</v>
      </c>
      <c r="N76" t="s">
        <v>143</v>
      </c>
      <c r="O76" t="s">
        <v>144</v>
      </c>
      <c r="P76" t="s">
        <v>110</v>
      </c>
      <c r="Q76" t="s">
        <v>111</v>
      </c>
      <c r="R76" t="s">
        <v>112</v>
      </c>
    </row>
    <row r="77" spans="1:18" x14ac:dyDescent="0.25">
      <c r="A77">
        <v>34076</v>
      </c>
      <c r="B77" t="s">
        <v>396</v>
      </c>
      <c r="C77">
        <v>34076</v>
      </c>
      <c r="D77">
        <v>693</v>
      </c>
      <c r="E77" t="s">
        <v>147</v>
      </c>
      <c r="F77">
        <v>20</v>
      </c>
      <c r="G77" t="s">
        <v>397</v>
      </c>
      <c r="H77" t="s">
        <v>121</v>
      </c>
      <c r="I77" t="s">
        <v>150</v>
      </c>
      <c r="J77" t="s">
        <v>175</v>
      </c>
      <c r="K77" t="s">
        <v>165</v>
      </c>
      <c r="L77" t="s">
        <v>166</v>
      </c>
      <c r="M77">
        <v>100004</v>
      </c>
      <c r="N77" t="s">
        <v>189</v>
      </c>
      <c r="O77" t="s">
        <v>179</v>
      </c>
      <c r="P77" t="s">
        <v>110</v>
      </c>
      <c r="Q77" t="s">
        <v>132</v>
      </c>
      <c r="R77" t="s">
        <v>156</v>
      </c>
    </row>
    <row r="78" spans="1:18" x14ac:dyDescent="0.25">
      <c r="A78">
        <v>34077</v>
      </c>
      <c r="B78" t="s">
        <v>398</v>
      </c>
      <c r="C78">
        <v>34077</v>
      </c>
      <c r="D78">
        <v>767</v>
      </c>
      <c r="E78" t="s">
        <v>147</v>
      </c>
      <c r="F78">
        <v>20</v>
      </c>
      <c r="G78" t="s">
        <v>399</v>
      </c>
      <c r="H78" t="s">
        <v>149</v>
      </c>
      <c r="I78" t="s">
        <v>216</v>
      </c>
      <c r="J78" t="s">
        <v>217</v>
      </c>
      <c r="K78" t="s">
        <v>343</v>
      </c>
      <c r="L78" t="s">
        <v>344</v>
      </c>
      <c r="M78">
        <v>100253</v>
      </c>
      <c r="N78" t="s">
        <v>220</v>
      </c>
      <c r="O78" t="s">
        <v>109</v>
      </c>
      <c r="P78" t="s">
        <v>110</v>
      </c>
      <c r="Q78" t="s">
        <v>111</v>
      </c>
      <c r="R78" t="s">
        <v>221</v>
      </c>
    </row>
    <row r="79" spans="1:18" x14ac:dyDescent="0.25">
      <c r="A79">
        <v>34078</v>
      </c>
      <c r="B79" t="s">
        <v>403</v>
      </c>
      <c r="C79">
        <v>34078</v>
      </c>
      <c r="D79">
        <v>2847</v>
      </c>
      <c r="E79" t="s">
        <v>147</v>
      </c>
      <c r="F79">
        <v>20</v>
      </c>
      <c r="G79" t="s">
        <v>404</v>
      </c>
      <c r="H79" t="s">
        <v>149</v>
      </c>
      <c r="I79" t="s">
        <v>150</v>
      </c>
      <c r="J79" t="s">
        <v>151</v>
      </c>
      <c r="K79" t="s">
        <v>152</v>
      </c>
      <c r="L79" t="s">
        <v>153</v>
      </c>
      <c r="M79">
        <v>100235</v>
      </c>
      <c r="N79" t="s">
        <v>194</v>
      </c>
      <c r="O79" t="s">
        <v>109</v>
      </c>
      <c r="P79" t="s">
        <v>110</v>
      </c>
      <c r="Q79" t="s">
        <v>111</v>
      </c>
      <c r="R79" t="s">
        <v>180</v>
      </c>
    </row>
    <row r="80" spans="1:18" x14ac:dyDescent="0.25">
      <c r="A80">
        <v>34079</v>
      </c>
      <c r="B80" t="s">
        <v>406</v>
      </c>
      <c r="C80">
        <v>34079</v>
      </c>
      <c r="D80">
        <v>3284</v>
      </c>
      <c r="E80" t="s">
        <v>147</v>
      </c>
      <c r="F80">
        <v>20</v>
      </c>
      <c r="G80" t="s">
        <v>407</v>
      </c>
      <c r="H80" t="s">
        <v>121</v>
      </c>
      <c r="I80" t="s">
        <v>150</v>
      </c>
      <c r="J80" t="s">
        <v>175</v>
      </c>
      <c r="K80" t="s">
        <v>165</v>
      </c>
      <c r="L80" t="s">
        <v>166</v>
      </c>
      <c r="M80">
        <v>100004</v>
      </c>
      <c r="N80" t="s">
        <v>189</v>
      </c>
      <c r="O80" t="s">
        <v>179</v>
      </c>
      <c r="P80" t="s">
        <v>110</v>
      </c>
      <c r="Q80" t="s">
        <v>111</v>
      </c>
      <c r="R80" t="s">
        <v>156</v>
      </c>
    </row>
    <row r="81" spans="1:18" x14ac:dyDescent="0.25">
      <c r="A81">
        <v>34080</v>
      </c>
      <c r="B81" t="s">
        <v>410</v>
      </c>
      <c r="C81">
        <v>34080</v>
      </c>
      <c r="D81">
        <v>813</v>
      </c>
      <c r="E81" t="s">
        <v>162</v>
      </c>
      <c r="F81">
        <v>20</v>
      </c>
      <c r="G81" t="s">
        <v>411</v>
      </c>
      <c r="H81" t="s">
        <v>103</v>
      </c>
      <c r="I81" t="s">
        <v>104</v>
      </c>
      <c r="J81" t="s">
        <v>259</v>
      </c>
      <c r="K81" t="s">
        <v>141</v>
      </c>
      <c r="L81" t="s">
        <v>142</v>
      </c>
      <c r="M81">
        <v>100257</v>
      </c>
      <c r="N81" t="s">
        <v>143</v>
      </c>
      <c r="O81" t="s">
        <v>144</v>
      </c>
      <c r="P81" t="s">
        <v>110</v>
      </c>
      <c r="Q81" t="s">
        <v>111</v>
      </c>
      <c r="R81" t="s">
        <v>112</v>
      </c>
    </row>
    <row r="82" spans="1:18" x14ac:dyDescent="0.25">
      <c r="A82">
        <v>34081</v>
      </c>
      <c r="B82" t="s">
        <v>412</v>
      </c>
      <c r="C82">
        <v>34081</v>
      </c>
      <c r="D82">
        <v>1023</v>
      </c>
      <c r="E82" t="s">
        <v>101</v>
      </c>
      <c r="F82">
        <v>20</v>
      </c>
      <c r="G82" t="s">
        <v>413</v>
      </c>
      <c r="H82" t="s">
        <v>103</v>
      </c>
      <c r="I82" t="s">
        <v>104</v>
      </c>
      <c r="J82" t="s">
        <v>105</v>
      </c>
      <c r="K82" t="s">
        <v>206</v>
      </c>
      <c r="L82" t="s">
        <v>207</v>
      </c>
      <c r="M82">
        <v>100015</v>
      </c>
      <c r="N82" t="s">
        <v>377</v>
      </c>
      <c r="O82" t="s">
        <v>109</v>
      </c>
      <c r="P82" t="s">
        <v>110</v>
      </c>
      <c r="Q82" t="s">
        <v>111</v>
      </c>
      <c r="R82" t="s">
        <v>156</v>
      </c>
    </row>
    <row r="83" spans="1:18" x14ac:dyDescent="0.25">
      <c r="A83">
        <v>34082</v>
      </c>
      <c r="B83" t="s">
        <v>416</v>
      </c>
      <c r="C83">
        <v>34082</v>
      </c>
      <c r="D83">
        <v>902</v>
      </c>
      <c r="E83" t="s">
        <v>147</v>
      </c>
      <c r="F83">
        <v>20</v>
      </c>
      <c r="G83" t="s">
        <v>417</v>
      </c>
      <c r="H83" t="s">
        <v>149</v>
      </c>
      <c r="I83" t="s">
        <v>150</v>
      </c>
      <c r="J83" t="s">
        <v>151</v>
      </c>
      <c r="K83" t="s">
        <v>192</v>
      </c>
      <c r="L83" t="s">
        <v>193</v>
      </c>
      <c r="M83">
        <v>100235</v>
      </c>
      <c r="N83" t="s">
        <v>194</v>
      </c>
      <c r="O83" t="s">
        <v>109</v>
      </c>
      <c r="P83" t="s">
        <v>110</v>
      </c>
      <c r="Q83" t="s">
        <v>132</v>
      </c>
      <c r="R83" t="s">
        <v>180</v>
      </c>
    </row>
    <row r="84" spans="1:18" x14ac:dyDescent="0.25">
      <c r="A84">
        <v>34083</v>
      </c>
      <c r="B84" t="s">
        <v>419</v>
      </c>
      <c r="C84">
        <v>34083</v>
      </c>
      <c r="D84">
        <v>1092</v>
      </c>
      <c r="E84" t="s">
        <v>162</v>
      </c>
      <c r="F84">
        <v>12</v>
      </c>
      <c r="G84" t="s">
        <v>420</v>
      </c>
      <c r="H84" t="s">
        <v>103</v>
      </c>
      <c r="I84" t="s">
        <v>104</v>
      </c>
      <c r="J84" t="s">
        <v>164</v>
      </c>
      <c r="K84" t="s">
        <v>165</v>
      </c>
      <c r="L84" t="s">
        <v>166</v>
      </c>
      <c r="M84">
        <v>100249</v>
      </c>
      <c r="N84" t="s">
        <v>167</v>
      </c>
      <c r="O84" t="s">
        <v>144</v>
      </c>
      <c r="P84" t="s">
        <v>110</v>
      </c>
      <c r="Q84" t="s">
        <v>132</v>
      </c>
      <c r="R84" t="s">
        <v>112</v>
      </c>
    </row>
    <row r="85" spans="1:18" x14ac:dyDescent="0.25">
      <c r="A85">
        <v>34084</v>
      </c>
      <c r="B85" t="s">
        <v>421</v>
      </c>
      <c r="C85">
        <v>34084</v>
      </c>
      <c r="D85">
        <v>1434</v>
      </c>
      <c r="E85" t="s">
        <v>101</v>
      </c>
      <c r="F85">
        <v>20</v>
      </c>
      <c r="G85" t="s">
        <v>422</v>
      </c>
      <c r="H85" t="s">
        <v>103</v>
      </c>
      <c r="I85" t="s">
        <v>105</v>
      </c>
      <c r="J85" t="s">
        <v>105</v>
      </c>
      <c r="K85" t="s">
        <v>423</v>
      </c>
      <c r="L85" t="s">
        <v>424</v>
      </c>
      <c r="M85">
        <v>100002</v>
      </c>
      <c r="N85" t="s">
        <v>171</v>
      </c>
      <c r="O85" t="s">
        <v>109</v>
      </c>
      <c r="P85" t="s">
        <v>110</v>
      </c>
      <c r="Q85" t="s">
        <v>132</v>
      </c>
      <c r="R85" t="s">
        <v>156</v>
      </c>
    </row>
    <row r="86" spans="1:18" x14ac:dyDescent="0.25">
      <c r="A86">
        <v>34085</v>
      </c>
      <c r="B86" t="s">
        <v>425</v>
      </c>
      <c r="C86">
        <v>34085</v>
      </c>
      <c r="D86">
        <v>304</v>
      </c>
      <c r="E86" t="s">
        <v>101</v>
      </c>
      <c r="F86">
        <v>20</v>
      </c>
      <c r="G86" t="s">
        <v>426</v>
      </c>
      <c r="H86" t="s">
        <v>103</v>
      </c>
      <c r="I86" t="s">
        <v>105</v>
      </c>
      <c r="J86" t="s">
        <v>105</v>
      </c>
      <c r="K86" t="s">
        <v>106</v>
      </c>
      <c r="L86" t="s">
        <v>107</v>
      </c>
      <c r="M86">
        <v>100002</v>
      </c>
      <c r="N86" t="s">
        <v>171</v>
      </c>
      <c r="O86" t="s">
        <v>109</v>
      </c>
      <c r="P86" t="s">
        <v>110</v>
      </c>
      <c r="Q86" t="s">
        <v>111</v>
      </c>
      <c r="R86" t="s">
        <v>156</v>
      </c>
    </row>
    <row r="87" spans="1:18" x14ac:dyDescent="0.25">
      <c r="A87">
        <v>34086</v>
      </c>
      <c r="B87" t="s">
        <v>427</v>
      </c>
      <c r="C87">
        <v>34086</v>
      </c>
      <c r="D87">
        <v>3034</v>
      </c>
      <c r="E87" t="s">
        <v>119</v>
      </c>
      <c r="F87">
        <v>30</v>
      </c>
      <c r="G87" t="s">
        <v>428</v>
      </c>
      <c r="H87" t="s">
        <v>103</v>
      </c>
      <c r="I87" t="s">
        <v>104</v>
      </c>
      <c r="J87" t="s">
        <v>259</v>
      </c>
      <c r="K87" t="s">
        <v>141</v>
      </c>
      <c r="L87" t="s">
        <v>142</v>
      </c>
      <c r="M87">
        <v>100257</v>
      </c>
      <c r="N87" t="s">
        <v>143</v>
      </c>
      <c r="O87" t="s">
        <v>144</v>
      </c>
      <c r="P87" t="s">
        <v>110</v>
      </c>
      <c r="Q87" t="s">
        <v>111</v>
      </c>
      <c r="R87" t="s">
        <v>112</v>
      </c>
    </row>
    <row r="88" spans="1:18" x14ac:dyDescent="0.25">
      <c r="A88">
        <v>34087</v>
      </c>
      <c r="B88" t="s">
        <v>429</v>
      </c>
      <c r="C88">
        <v>34087</v>
      </c>
      <c r="D88">
        <v>1219</v>
      </c>
      <c r="E88" t="s">
        <v>147</v>
      </c>
      <c r="F88">
        <v>20</v>
      </c>
      <c r="G88" t="s">
        <v>430</v>
      </c>
      <c r="H88" t="s">
        <v>149</v>
      </c>
      <c r="I88" t="s">
        <v>216</v>
      </c>
      <c r="J88" t="s">
        <v>217</v>
      </c>
      <c r="K88" t="s">
        <v>431</v>
      </c>
      <c r="L88" t="s">
        <v>432</v>
      </c>
      <c r="M88">
        <v>100253</v>
      </c>
      <c r="N88" t="s">
        <v>220</v>
      </c>
      <c r="O88" t="s">
        <v>109</v>
      </c>
      <c r="P88" t="s">
        <v>110</v>
      </c>
      <c r="Q88" t="s">
        <v>111</v>
      </c>
      <c r="R88" t="s">
        <v>221</v>
      </c>
    </row>
    <row r="89" spans="1:18" x14ac:dyDescent="0.25">
      <c r="A89">
        <v>34088</v>
      </c>
      <c r="B89" t="s">
        <v>435</v>
      </c>
      <c r="C89">
        <v>34088</v>
      </c>
      <c r="D89">
        <v>2878</v>
      </c>
      <c r="E89" t="s">
        <v>147</v>
      </c>
      <c r="F89">
        <v>20</v>
      </c>
      <c r="G89" t="s">
        <v>436</v>
      </c>
      <c r="H89" t="s">
        <v>149</v>
      </c>
      <c r="I89" t="s">
        <v>216</v>
      </c>
      <c r="J89" t="s">
        <v>217</v>
      </c>
      <c r="K89" t="s">
        <v>431</v>
      </c>
      <c r="L89" t="s">
        <v>432</v>
      </c>
      <c r="M89">
        <v>100253</v>
      </c>
      <c r="N89" t="s">
        <v>220</v>
      </c>
      <c r="O89" t="s">
        <v>109</v>
      </c>
      <c r="P89" t="s">
        <v>110</v>
      </c>
      <c r="Q89" t="s">
        <v>111</v>
      </c>
      <c r="R89" t="s">
        <v>221</v>
      </c>
    </row>
    <row r="90" spans="1:18" x14ac:dyDescent="0.25">
      <c r="A90">
        <v>34089</v>
      </c>
      <c r="B90" t="s">
        <v>440</v>
      </c>
      <c r="C90">
        <v>34089</v>
      </c>
      <c r="D90">
        <v>861</v>
      </c>
      <c r="E90" t="s">
        <v>101</v>
      </c>
      <c r="F90">
        <v>20</v>
      </c>
      <c r="G90" t="s">
        <v>441</v>
      </c>
      <c r="H90" t="s">
        <v>103</v>
      </c>
      <c r="I90" t="s">
        <v>104</v>
      </c>
      <c r="J90" t="s">
        <v>140</v>
      </c>
      <c r="K90" t="s">
        <v>141</v>
      </c>
      <c r="L90" t="s">
        <v>142</v>
      </c>
      <c r="M90">
        <v>100248</v>
      </c>
      <c r="N90" t="s">
        <v>198</v>
      </c>
      <c r="O90" t="s">
        <v>144</v>
      </c>
      <c r="P90" t="s">
        <v>110</v>
      </c>
      <c r="Q90" t="s">
        <v>111</v>
      </c>
      <c r="R90" t="s">
        <v>112</v>
      </c>
    </row>
    <row r="91" spans="1:18" x14ac:dyDescent="0.25">
      <c r="A91">
        <v>34090</v>
      </c>
      <c r="B91" t="s">
        <v>443</v>
      </c>
      <c r="C91">
        <v>34090</v>
      </c>
      <c r="D91">
        <v>577</v>
      </c>
      <c r="E91" t="s">
        <v>147</v>
      </c>
      <c r="F91">
        <v>12</v>
      </c>
      <c r="G91" t="s">
        <v>444</v>
      </c>
      <c r="H91" t="s">
        <v>149</v>
      </c>
      <c r="I91" t="s">
        <v>216</v>
      </c>
      <c r="J91" t="s">
        <v>217</v>
      </c>
      <c r="K91" t="s">
        <v>218</v>
      </c>
      <c r="L91" t="s">
        <v>219</v>
      </c>
      <c r="M91">
        <v>100253</v>
      </c>
      <c r="N91" t="s">
        <v>220</v>
      </c>
      <c r="O91" t="s">
        <v>109</v>
      </c>
      <c r="P91" t="s">
        <v>110</v>
      </c>
      <c r="Q91" t="s">
        <v>132</v>
      </c>
      <c r="R91" t="s">
        <v>221</v>
      </c>
    </row>
    <row r="92" spans="1:18" x14ac:dyDescent="0.25">
      <c r="A92">
        <v>34091</v>
      </c>
      <c r="B92" t="s">
        <v>448</v>
      </c>
      <c r="C92">
        <v>34091</v>
      </c>
      <c r="D92">
        <v>2230</v>
      </c>
      <c r="E92" t="s">
        <v>449</v>
      </c>
      <c r="F92">
        <v>20</v>
      </c>
      <c r="G92" t="s">
        <v>450</v>
      </c>
      <c r="H92" t="s">
        <v>121</v>
      </c>
      <c r="I92" t="s">
        <v>150</v>
      </c>
      <c r="J92" t="s">
        <v>175</v>
      </c>
      <c r="K92" t="s">
        <v>152</v>
      </c>
      <c r="L92" t="s">
        <v>153</v>
      </c>
      <c r="M92">
        <v>100219</v>
      </c>
      <c r="N92" t="s">
        <v>284</v>
      </c>
      <c r="O92" t="s">
        <v>179</v>
      </c>
      <c r="P92" t="s">
        <v>110</v>
      </c>
      <c r="Q92" t="s">
        <v>132</v>
      </c>
      <c r="R92" t="s">
        <v>156</v>
      </c>
    </row>
    <row r="93" spans="1:18" x14ac:dyDescent="0.25">
      <c r="A93">
        <v>34092</v>
      </c>
      <c r="B93" t="s">
        <v>451</v>
      </c>
      <c r="C93">
        <v>34092</v>
      </c>
      <c r="D93">
        <v>2594</v>
      </c>
      <c r="E93" t="s">
        <v>119</v>
      </c>
      <c r="F93">
        <v>30</v>
      </c>
      <c r="G93" t="s">
        <v>452</v>
      </c>
      <c r="H93" t="s">
        <v>103</v>
      </c>
      <c r="I93" t="s">
        <v>104</v>
      </c>
      <c r="J93" t="s">
        <v>140</v>
      </c>
      <c r="K93" t="s">
        <v>141</v>
      </c>
      <c r="L93" t="s">
        <v>142</v>
      </c>
      <c r="M93">
        <v>100248</v>
      </c>
      <c r="N93" t="s">
        <v>198</v>
      </c>
      <c r="O93" t="s">
        <v>144</v>
      </c>
      <c r="P93" t="s">
        <v>110</v>
      </c>
      <c r="Q93" t="s">
        <v>111</v>
      </c>
      <c r="R93" t="s">
        <v>112</v>
      </c>
    </row>
    <row r="94" spans="1:18" x14ac:dyDescent="0.25">
      <c r="A94">
        <v>34093</v>
      </c>
      <c r="B94" t="s">
        <v>453</v>
      </c>
      <c r="C94">
        <v>34093</v>
      </c>
      <c r="D94">
        <v>1866</v>
      </c>
      <c r="E94" t="s">
        <v>162</v>
      </c>
      <c r="F94">
        <v>20</v>
      </c>
      <c r="G94" t="s">
        <v>454</v>
      </c>
      <c r="H94" t="s">
        <v>103</v>
      </c>
      <c r="I94" t="s">
        <v>104</v>
      </c>
      <c r="J94" t="s">
        <v>164</v>
      </c>
      <c r="K94" t="s">
        <v>165</v>
      </c>
      <c r="L94" t="s">
        <v>166</v>
      </c>
      <c r="M94">
        <v>100249</v>
      </c>
      <c r="N94" t="s">
        <v>167</v>
      </c>
      <c r="O94" t="s">
        <v>144</v>
      </c>
      <c r="P94" t="s">
        <v>110</v>
      </c>
      <c r="Q94" t="s">
        <v>132</v>
      </c>
      <c r="R94" t="s">
        <v>112</v>
      </c>
    </row>
    <row r="95" spans="1:18" x14ac:dyDescent="0.25">
      <c r="A95">
        <v>34094</v>
      </c>
      <c r="B95" t="s">
        <v>455</v>
      </c>
      <c r="C95">
        <v>34094</v>
      </c>
      <c r="D95">
        <v>510</v>
      </c>
      <c r="E95" t="s">
        <v>101</v>
      </c>
      <c r="F95">
        <v>20</v>
      </c>
      <c r="G95" t="s">
        <v>456</v>
      </c>
      <c r="H95" t="s">
        <v>103</v>
      </c>
      <c r="I95" t="s">
        <v>105</v>
      </c>
      <c r="J95" t="s">
        <v>105</v>
      </c>
      <c r="K95" t="s">
        <v>241</v>
      </c>
      <c r="L95" t="s">
        <v>242</v>
      </c>
      <c r="M95">
        <v>100002</v>
      </c>
      <c r="N95" t="s">
        <v>171</v>
      </c>
      <c r="O95" t="s">
        <v>109</v>
      </c>
      <c r="P95" t="s">
        <v>110</v>
      </c>
      <c r="Q95" t="s">
        <v>132</v>
      </c>
      <c r="R95" t="s">
        <v>156</v>
      </c>
    </row>
    <row r="96" spans="1:18" x14ac:dyDescent="0.25">
      <c r="A96">
        <v>34095</v>
      </c>
      <c r="B96" t="s">
        <v>457</v>
      </c>
      <c r="C96">
        <v>34095</v>
      </c>
      <c r="D96">
        <v>3191</v>
      </c>
      <c r="E96" t="s">
        <v>147</v>
      </c>
      <c r="F96">
        <v>20</v>
      </c>
      <c r="G96" t="s">
        <v>458</v>
      </c>
      <c r="H96" t="s">
        <v>149</v>
      </c>
      <c r="I96" t="s">
        <v>216</v>
      </c>
      <c r="J96" t="s">
        <v>217</v>
      </c>
      <c r="K96" t="s">
        <v>431</v>
      </c>
      <c r="L96" t="s">
        <v>432</v>
      </c>
      <c r="M96">
        <v>100253</v>
      </c>
      <c r="N96" t="s">
        <v>220</v>
      </c>
      <c r="O96" t="s">
        <v>109</v>
      </c>
      <c r="P96" t="s">
        <v>110</v>
      </c>
      <c r="Q96" t="s">
        <v>111</v>
      </c>
      <c r="R96" t="s">
        <v>221</v>
      </c>
    </row>
    <row r="97" spans="1:18" x14ac:dyDescent="0.25">
      <c r="A97">
        <v>34096</v>
      </c>
      <c r="B97" t="s">
        <v>461</v>
      </c>
      <c r="C97">
        <v>34096</v>
      </c>
      <c r="D97">
        <v>2604</v>
      </c>
      <c r="E97" t="s">
        <v>162</v>
      </c>
      <c r="F97">
        <v>20</v>
      </c>
      <c r="G97" t="s">
        <v>462</v>
      </c>
      <c r="H97" t="s">
        <v>103</v>
      </c>
      <c r="I97" t="s">
        <v>104</v>
      </c>
      <c r="J97" t="s">
        <v>105</v>
      </c>
      <c r="K97" t="s">
        <v>206</v>
      </c>
      <c r="L97" t="s">
        <v>207</v>
      </c>
      <c r="M97">
        <v>100258</v>
      </c>
      <c r="N97" t="s">
        <v>108</v>
      </c>
      <c r="O97" t="s">
        <v>144</v>
      </c>
      <c r="P97" t="s">
        <v>110</v>
      </c>
      <c r="Q97" t="s">
        <v>111</v>
      </c>
      <c r="R97" t="s">
        <v>112</v>
      </c>
    </row>
    <row r="98" spans="1:18" x14ac:dyDescent="0.25">
      <c r="A98">
        <v>34097</v>
      </c>
      <c r="B98" t="s">
        <v>463</v>
      </c>
      <c r="C98">
        <v>34097</v>
      </c>
      <c r="D98">
        <v>3021</v>
      </c>
      <c r="E98" t="s">
        <v>119</v>
      </c>
      <c r="F98">
        <v>30</v>
      </c>
      <c r="G98" t="s">
        <v>464</v>
      </c>
      <c r="H98" t="s">
        <v>103</v>
      </c>
      <c r="I98" t="s">
        <v>104</v>
      </c>
      <c r="J98" t="s">
        <v>140</v>
      </c>
      <c r="K98" t="s">
        <v>141</v>
      </c>
      <c r="L98" t="s">
        <v>142</v>
      </c>
      <c r="M98">
        <v>100257</v>
      </c>
      <c r="N98" t="s">
        <v>143</v>
      </c>
      <c r="O98" t="s">
        <v>144</v>
      </c>
      <c r="P98" t="s">
        <v>110</v>
      </c>
      <c r="Q98" t="s">
        <v>111</v>
      </c>
      <c r="R98" t="s">
        <v>112</v>
      </c>
    </row>
    <row r="99" spans="1:18" x14ac:dyDescent="0.25">
      <c r="A99">
        <v>34098</v>
      </c>
      <c r="B99" t="s">
        <v>465</v>
      </c>
      <c r="C99">
        <v>34098</v>
      </c>
      <c r="D99">
        <v>2556</v>
      </c>
      <c r="E99" t="s">
        <v>119</v>
      </c>
      <c r="F99">
        <v>30</v>
      </c>
      <c r="G99" t="s">
        <v>466</v>
      </c>
      <c r="H99" t="s">
        <v>103</v>
      </c>
      <c r="I99" t="s">
        <v>104</v>
      </c>
      <c r="J99" t="s">
        <v>259</v>
      </c>
      <c r="K99" t="s">
        <v>141</v>
      </c>
      <c r="L99" t="s">
        <v>142</v>
      </c>
      <c r="M99">
        <v>100257</v>
      </c>
      <c r="N99" t="s">
        <v>143</v>
      </c>
      <c r="O99" t="s">
        <v>144</v>
      </c>
      <c r="P99" t="s">
        <v>110</v>
      </c>
      <c r="Q99" t="s">
        <v>111</v>
      </c>
      <c r="R99" t="s">
        <v>112</v>
      </c>
    </row>
    <row r="100" spans="1:18" x14ac:dyDescent="0.25">
      <c r="A100">
        <v>34099</v>
      </c>
      <c r="B100" t="s">
        <v>467</v>
      </c>
      <c r="C100">
        <v>34099</v>
      </c>
      <c r="D100">
        <v>1735</v>
      </c>
      <c r="E100" t="s">
        <v>147</v>
      </c>
      <c r="F100">
        <v>20</v>
      </c>
      <c r="G100" t="s">
        <v>468</v>
      </c>
      <c r="H100" t="s">
        <v>149</v>
      </c>
      <c r="I100" t="s">
        <v>150</v>
      </c>
      <c r="J100" t="s">
        <v>151</v>
      </c>
      <c r="K100" t="s">
        <v>152</v>
      </c>
      <c r="L100" t="s">
        <v>153</v>
      </c>
      <c r="M100">
        <v>100235</v>
      </c>
      <c r="N100" t="s">
        <v>194</v>
      </c>
      <c r="O100" t="s">
        <v>109</v>
      </c>
      <c r="P100" t="s">
        <v>110</v>
      </c>
      <c r="Q100" t="s">
        <v>132</v>
      </c>
      <c r="R100" t="s">
        <v>180</v>
      </c>
    </row>
    <row r="101" spans="1:18" x14ac:dyDescent="0.25">
      <c r="A101">
        <v>34100</v>
      </c>
      <c r="B101" t="s">
        <v>469</v>
      </c>
      <c r="C101">
        <v>34100</v>
      </c>
      <c r="D101">
        <v>2576</v>
      </c>
      <c r="E101" t="s">
        <v>119</v>
      </c>
      <c r="F101">
        <v>30</v>
      </c>
      <c r="G101" t="s">
        <v>470</v>
      </c>
      <c r="H101" t="s">
        <v>103</v>
      </c>
      <c r="I101" t="s">
        <v>104</v>
      </c>
      <c r="J101" t="s">
        <v>140</v>
      </c>
      <c r="K101" t="s">
        <v>141</v>
      </c>
      <c r="L101" t="s">
        <v>142</v>
      </c>
      <c r="M101">
        <v>100257</v>
      </c>
      <c r="N101" t="s">
        <v>143</v>
      </c>
      <c r="O101" t="s">
        <v>144</v>
      </c>
      <c r="P101" t="s">
        <v>110</v>
      </c>
      <c r="Q101" t="s">
        <v>132</v>
      </c>
      <c r="R101" t="s">
        <v>112</v>
      </c>
    </row>
    <row r="102" spans="1:18" x14ac:dyDescent="0.25">
      <c r="A102">
        <v>34101</v>
      </c>
      <c r="B102" t="s">
        <v>471</v>
      </c>
      <c r="C102">
        <v>34101</v>
      </c>
      <c r="D102">
        <v>3586</v>
      </c>
      <c r="E102" t="s">
        <v>128</v>
      </c>
      <c r="F102">
        <v>20</v>
      </c>
      <c r="G102" t="s">
        <v>472</v>
      </c>
      <c r="H102" t="s">
        <v>121</v>
      </c>
      <c r="I102" t="s">
        <v>105</v>
      </c>
      <c r="J102" t="s">
        <v>122</v>
      </c>
      <c r="K102" t="s">
        <v>106</v>
      </c>
      <c r="L102" t="s">
        <v>107</v>
      </c>
      <c r="M102">
        <v>100181</v>
      </c>
      <c r="N102" t="s">
        <v>125</v>
      </c>
      <c r="O102" t="s">
        <v>109</v>
      </c>
      <c r="P102" t="s">
        <v>110</v>
      </c>
      <c r="Q102" t="s">
        <v>111</v>
      </c>
      <c r="R102" t="s">
        <v>180</v>
      </c>
    </row>
    <row r="103" spans="1:18" x14ac:dyDescent="0.25">
      <c r="A103">
        <v>34102</v>
      </c>
      <c r="B103" t="s">
        <v>476</v>
      </c>
      <c r="C103">
        <v>34102</v>
      </c>
      <c r="D103">
        <v>833</v>
      </c>
      <c r="E103" t="s">
        <v>147</v>
      </c>
      <c r="F103">
        <v>20</v>
      </c>
      <c r="G103" t="s">
        <v>477</v>
      </c>
      <c r="H103" t="s">
        <v>149</v>
      </c>
      <c r="I103" t="s">
        <v>150</v>
      </c>
      <c r="J103" t="s">
        <v>151</v>
      </c>
      <c r="K103" t="s">
        <v>152</v>
      </c>
      <c r="L103" t="s">
        <v>153</v>
      </c>
      <c r="M103">
        <v>100235</v>
      </c>
      <c r="N103" t="s">
        <v>194</v>
      </c>
      <c r="O103" t="s">
        <v>109</v>
      </c>
      <c r="P103" t="s">
        <v>110</v>
      </c>
      <c r="Q103" t="s">
        <v>111</v>
      </c>
      <c r="R103" t="s">
        <v>180</v>
      </c>
    </row>
    <row r="104" spans="1:18" x14ac:dyDescent="0.25">
      <c r="A104">
        <v>34103</v>
      </c>
      <c r="B104" t="s">
        <v>478</v>
      </c>
      <c r="C104">
        <v>34103</v>
      </c>
      <c r="D104">
        <v>1773</v>
      </c>
      <c r="E104" t="s">
        <v>119</v>
      </c>
      <c r="F104">
        <v>30</v>
      </c>
      <c r="G104" t="s">
        <v>479</v>
      </c>
      <c r="H104" t="s">
        <v>121</v>
      </c>
      <c r="I104" t="s">
        <v>150</v>
      </c>
      <c r="J104" t="s">
        <v>175</v>
      </c>
      <c r="K104" t="s">
        <v>123</v>
      </c>
      <c r="L104" t="s">
        <v>124</v>
      </c>
      <c r="M104">
        <v>100004</v>
      </c>
      <c r="N104" t="s">
        <v>189</v>
      </c>
      <c r="O104" t="s">
        <v>179</v>
      </c>
      <c r="P104" t="s">
        <v>110</v>
      </c>
      <c r="Q104" t="s">
        <v>111</v>
      </c>
      <c r="R104" t="s">
        <v>156</v>
      </c>
    </row>
    <row r="105" spans="1:18" x14ac:dyDescent="0.25">
      <c r="A105">
        <v>34104</v>
      </c>
      <c r="B105" t="s">
        <v>480</v>
      </c>
      <c r="C105">
        <v>34104</v>
      </c>
      <c r="D105">
        <v>654</v>
      </c>
      <c r="E105" t="s">
        <v>119</v>
      </c>
      <c r="F105">
        <v>30</v>
      </c>
      <c r="G105" t="s">
        <v>481</v>
      </c>
      <c r="H105" t="s">
        <v>103</v>
      </c>
      <c r="I105" t="s">
        <v>104</v>
      </c>
      <c r="J105" t="s">
        <v>105</v>
      </c>
      <c r="K105" t="s">
        <v>206</v>
      </c>
      <c r="L105" t="s">
        <v>207</v>
      </c>
      <c r="M105">
        <v>100258</v>
      </c>
      <c r="N105" t="s">
        <v>108</v>
      </c>
      <c r="O105" t="s">
        <v>144</v>
      </c>
      <c r="P105" t="s">
        <v>110</v>
      </c>
      <c r="Q105" t="s">
        <v>132</v>
      </c>
      <c r="R105" t="s">
        <v>112</v>
      </c>
    </row>
    <row r="106" spans="1:18" x14ac:dyDescent="0.25">
      <c r="A106">
        <v>34105</v>
      </c>
      <c r="B106" t="s">
        <v>482</v>
      </c>
      <c r="C106">
        <v>34105</v>
      </c>
      <c r="D106">
        <v>541</v>
      </c>
      <c r="E106" t="s">
        <v>101</v>
      </c>
      <c r="F106">
        <v>20</v>
      </c>
      <c r="G106" t="s">
        <v>483</v>
      </c>
      <c r="H106" t="s">
        <v>103</v>
      </c>
      <c r="I106" t="s">
        <v>104</v>
      </c>
      <c r="J106" t="s">
        <v>105</v>
      </c>
      <c r="K106" t="s">
        <v>206</v>
      </c>
      <c r="L106" t="s">
        <v>207</v>
      </c>
      <c r="M106">
        <v>100258</v>
      </c>
      <c r="N106" t="s">
        <v>108</v>
      </c>
      <c r="O106" t="s">
        <v>109</v>
      </c>
      <c r="P106" t="s">
        <v>110</v>
      </c>
      <c r="Q106" t="s">
        <v>132</v>
      </c>
      <c r="R106" t="s">
        <v>112</v>
      </c>
    </row>
    <row r="107" spans="1:18" x14ac:dyDescent="0.25">
      <c r="A107">
        <v>34106</v>
      </c>
      <c r="B107" t="s">
        <v>484</v>
      </c>
      <c r="C107">
        <v>34106</v>
      </c>
      <c r="D107">
        <v>540</v>
      </c>
      <c r="E107" t="s">
        <v>449</v>
      </c>
      <c r="F107">
        <v>20</v>
      </c>
      <c r="G107" t="s">
        <v>485</v>
      </c>
      <c r="H107" t="s">
        <v>121</v>
      </c>
      <c r="I107" t="s">
        <v>150</v>
      </c>
      <c r="J107" t="s">
        <v>175</v>
      </c>
      <c r="K107" t="s">
        <v>152</v>
      </c>
      <c r="L107" t="s">
        <v>153</v>
      </c>
      <c r="M107">
        <v>100219</v>
      </c>
      <c r="N107" t="s">
        <v>284</v>
      </c>
      <c r="O107" t="s">
        <v>179</v>
      </c>
      <c r="P107" t="s">
        <v>110</v>
      </c>
      <c r="Q107" t="s">
        <v>132</v>
      </c>
      <c r="R107" t="s">
        <v>156</v>
      </c>
    </row>
    <row r="108" spans="1:18" x14ac:dyDescent="0.25">
      <c r="A108">
        <v>34107</v>
      </c>
      <c r="B108" t="s">
        <v>486</v>
      </c>
      <c r="C108">
        <v>34107</v>
      </c>
      <c r="D108">
        <v>5858</v>
      </c>
      <c r="E108" t="s">
        <v>119</v>
      </c>
      <c r="F108">
        <v>30</v>
      </c>
      <c r="G108" t="s">
        <v>487</v>
      </c>
      <c r="H108" t="s">
        <v>103</v>
      </c>
      <c r="I108" t="s">
        <v>104</v>
      </c>
      <c r="J108" t="s">
        <v>259</v>
      </c>
      <c r="K108" t="s">
        <v>141</v>
      </c>
      <c r="L108" t="s">
        <v>142</v>
      </c>
      <c r="M108">
        <v>100256</v>
      </c>
      <c r="N108" t="s">
        <v>311</v>
      </c>
      <c r="O108" t="s">
        <v>109</v>
      </c>
      <c r="P108" t="s">
        <v>110</v>
      </c>
      <c r="Q108" t="s">
        <v>111</v>
      </c>
      <c r="R108" t="s">
        <v>156</v>
      </c>
    </row>
    <row r="109" spans="1:18" x14ac:dyDescent="0.25">
      <c r="A109">
        <v>34108</v>
      </c>
      <c r="B109" t="s">
        <v>488</v>
      </c>
      <c r="C109">
        <v>34108</v>
      </c>
      <c r="D109">
        <v>3985</v>
      </c>
      <c r="E109" t="s">
        <v>147</v>
      </c>
      <c r="F109">
        <v>20</v>
      </c>
      <c r="G109" t="s">
        <v>489</v>
      </c>
      <c r="H109" t="s">
        <v>121</v>
      </c>
      <c r="I109" t="s">
        <v>227</v>
      </c>
      <c r="J109" t="s">
        <v>122</v>
      </c>
      <c r="K109" t="s">
        <v>228</v>
      </c>
      <c r="L109" t="s">
        <v>229</v>
      </c>
      <c r="M109">
        <v>100259</v>
      </c>
      <c r="N109" t="s">
        <v>230</v>
      </c>
      <c r="O109" t="s">
        <v>109</v>
      </c>
      <c r="P109" t="s">
        <v>110</v>
      </c>
      <c r="Q109" t="s">
        <v>111</v>
      </c>
      <c r="R109" t="s">
        <v>221</v>
      </c>
    </row>
    <row r="110" spans="1:18" x14ac:dyDescent="0.25">
      <c r="A110">
        <v>34109</v>
      </c>
      <c r="B110" t="s">
        <v>493</v>
      </c>
      <c r="C110">
        <v>34109</v>
      </c>
      <c r="D110">
        <v>1604</v>
      </c>
      <c r="E110" t="s">
        <v>101</v>
      </c>
      <c r="F110">
        <v>20</v>
      </c>
      <c r="G110" t="s">
        <v>494</v>
      </c>
      <c r="H110" t="s">
        <v>103</v>
      </c>
      <c r="I110" t="s">
        <v>104</v>
      </c>
      <c r="J110" t="s">
        <v>105</v>
      </c>
      <c r="K110" t="s">
        <v>206</v>
      </c>
      <c r="L110" t="s">
        <v>207</v>
      </c>
      <c r="M110">
        <v>100258</v>
      </c>
      <c r="N110" t="s">
        <v>108</v>
      </c>
      <c r="O110" t="s">
        <v>144</v>
      </c>
      <c r="P110" t="s">
        <v>110</v>
      </c>
      <c r="Q110" t="s">
        <v>111</v>
      </c>
      <c r="R110" t="s">
        <v>112</v>
      </c>
    </row>
    <row r="111" spans="1:18" x14ac:dyDescent="0.25">
      <c r="A111">
        <v>34110</v>
      </c>
      <c r="B111" t="s">
        <v>496</v>
      </c>
      <c r="C111">
        <v>34110</v>
      </c>
      <c r="D111">
        <v>1132</v>
      </c>
      <c r="E111" t="s">
        <v>147</v>
      </c>
      <c r="F111">
        <v>20</v>
      </c>
      <c r="G111" t="s">
        <v>497</v>
      </c>
      <c r="H111" t="s">
        <v>149</v>
      </c>
      <c r="I111" t="s">
        <v>274</v>
      </c>
      <c r="J111" t="s">
        <v>274</v>
      </c>
      <c r="K111" t="s">
        <v>275</v>
      </c>
      <c r="L111" t="s">
        <v>276</v>
      </c>
      <c r="M111">
        <v>100017</v>
      </c>
      <c r="N111" t="s">
        <v>277</v>
      </c>
      <c r="O111" t="s">
        <v>109</v>
      </c>
      <c r="P111" t="s">
        <v>110</v>
      </c>
      <c r="Q111" t="s">
        <v>132</v>
      </c>
      <c r="R111" t="s">
        <v>180</v>
      </c>
    </row>
    <row r="112" spans="1:18" x14ac:dyDescent="0.25">
      <c r="A112">
        <v>34111</v>
      </c>
      <c r="B112" t="s">
        <v>498</v>
      </c>
      <c r="C112">
        <v>34111</v>
      </c>
      <c r="D112">
        <v>726</v>
      </c>
      <c r="E112" t="s">
        <v>147</v>
      </c>
      <c r="F112">
        <v>20</v>
      </c>
      <c r="G112" t="s">
        <v>499</v>
      </c>
      <c r="H112" t="s">
        <v>149</v>
      </c>
      <c r="I112" t="s">
        <v>150</v>
      </c>
      <c r="J112" t="s">
        <v>151</v>
      </c>
      <c r="K112" t="s">
        <v>152</v>
      </c>
      <c r="L112" t="s">
        <v>153</v>
      </c>
      <c r="M112">
        <v>100033</v>
      </c>
      <c r="N112" t="s">
        <v>154</v>
      </c>
      <c r="O112" t="s">
        <v>155</v>
      </c>
      <c r="P112" t="s">
        <v>110</v>
      </c>
      <c r="Q112" t="s">
        <v>111</v>
      </c>
      <c r="R112" t="s">
        <v>156</v>
      </c>
    </row>
    <row r="113" spans="1:18" x14ac:dyDescent="0.25">
      <c r="A113">
        <v>34112</v>
      </c>
      <c r="B113" t="s">
        <v>502</v>
      </c>
      <c r="C113">
        <v>34112</v>
      </c>
      <c r="D113">
        <v>487</v>
      </c>
      <c r="E113" t="s">
        <v>147</v>
      </c>
      <c r="F113">
        <v>20</v>
      </c>
      <c r="G113" t="s">
        <v>503</v>
      </c>
      <c r="H113" t="s">
        <v>149</v>
      </c>
      <c r="I113" t="s">
        <v>274</v>
      </c>
      <c r="J113" t="s">
        <v>274</v>
      </c>
      <c r="K113" t="s">
        <v>275</v>
      </c>
      <c r="L113" t="s">
        <v>276</v>
      </c>
      <c r="M113">
        <v>100017</v>
      </c>
      <c r="N113" t="s">
        <v>277</v>
      </c>
      <c r="O113" t="s">
        <v>109</v>
      </c>
      <c r="P113" t="s">
        <v>110</v>
      </c>
      <c r="Q113" t="s">
        <v>111</v>
      </c>
      <c r="R113" t="s">
        <v>180</v>
      </c>
    </row>
    <row r="114" spans="1:18" x14ac:dyDescent="0.25">
      <c r="A114">
        <v>34113</v>
      </c>
      <c r="B114" t="s">
        <v>504</v>
      </c>
      <c r="C114">
        <v>34113</v>
      </c>
      <c r="D114">
        <v>1635</v>
      </c>
      <c r="E114" t="s">
        <v>147</v>
      </c>
      <c r="F114">
        <v>20</v>
      </c>
      <c r="G114" t="s">
        <v>505</v>
      </c>
      <c r="H114" t="s">
        <v>121</v>
      </c>
      <c r="I114" t="s">
        <v>227</v>
      </c>
      <c r="J114" t="s">
        <v>122</v>
      </c>
      <c r="K114" t="s">
        <v>228</v>
      </c>
      <c r="L114" t="s">
        <v>229</v>
      </c>
      <c r="M114">
        <v>100259</v>
      </c>
      <c r="N114" t="s">
        <v>230</v>
      </c>
      <c r="O114" t="s">
        <v>109</v>
      </c>
      <c r="P114" t="s">
        <v>110</v>
      </c>
      <c r="Q114" t="s">
        <v>111</v>
      </c>
      <c r="R114" t="s">
        <v>221</v>
      </c>
    </row>
    <row r="115" spans="1:18" x14ac:dyDescent="0.25">
      <c r="A115">
        <v>34114</v>
      </c>
      <c r="B115" t="s">
        <v>509</v>
      </c>
      <c r="C115">
        <v>34114</v>
      </c>
      <c r="D115">
        <v>2988</v>
      </c>
      <c r="E115" t="s">
        <v>147</v>
      </c>
      <c r="F115">
        <v>20</v>
      </c>
      <c r="G115" t="s">
        <v>510</v>
      </c>
      <c r="H115" t="s">
        <v>121</v>
      </c>
      <c r="I115" t="s">
        <v>150</v>
      </c>
      <c r="J115" t="s">
        <v>175</v>
      </c>
      <c r="K115" t="s">
        <v>176</v>
      </c>
      <c r="L115" t="s">
        <v>177</v>
      </c>
      <c r="M115">
        <v>100031</v>
      </c>
      <c r="N115" t="s">
        <v>178</v>
      </c>
      <c r="O115" t="s">
        <v>179</v>
      </c>
      <c r="P115" t="s">
        <v>110</v>
      </c>
      <c r="Q115" t="s">
        <v>111</v>
      </c>
      <c r="R115" t="s">
        <v>180</v>
      </c>
    </row>
    <row r="116" spans="1:18" x14ac:dyDescent="0.25">
      <c r="A116">
        <v>34115</v>
      </c>
      <c r="B116" t="s">
        <v>512</v>
      </c>
      <c r="C116">
        <v>34115</v>
      </c>
      <c r="D116">
        <v>2910</v>
      </c>
      <c r="E116" t="s">
        <v>119</v>
      </c>
      <c r="F116">
        <v>30</v>
      </c>
      <c r="G116" t="s">
        <v>513</v>
      </c>
      <c r="H116" t="s">
        <v>149</v>
      </c>
      <c r="I116" t="s">
        <v>150</v>
      </c>
      <c r="J116" t="s">
        <v>151</v>
      </c>
      <c r="K116" t="s">
        <v>152</v>
      </c>
      <c r="L116" t="s">
        <v>153</v>
      </c>
      <c r="M116">
        <v>100033</v>
      </c>
      <c r="N116" t="s">
        <v>154</v>
      </c>
      <c r="O116" t="s">
        <v>155</v>
      </c>
      <c r="P116" t="s">
        <v>110</v>
      </c>
      <c r="Q116" t="s">
        <v>132</v>
      </c>
      <c r="R116" t="s">
        <v>156</v>
      </c>
    </row>
    <row r="117" spans="1:18" x14ac:dyDescent="0.25">
      <c r="A117">
        <v>34116</v>
      </c>
      <c r="B117" t="s">
        <v>514</v>
      </c>
      <c r="C117">
        <v>34116</v>
      </c>
      <c r="D117">
        <v>1660</v>
      </c>
      <c r="E117" t="s">
        <v>147</v>
      </c>
      <c r="F117">
        <v>12</v>
      </c>
      <c r="G117" t="s">
        <v>515</v>
      </c>
      <c r="H117" t="s">
        <v>149</v>
      </c>
      <c r="I117" t="s">
        <v>216</v>
      </c>
      <c r="J117" t="s">
        <v>217</v>
      </c>
      <c r="K117" t="s">
        <v>516</v>
      </c>
      <c r="L117" t="s">
        <v>517</v>
      </c>
      <c r="M117">
        <v>100253</v>
      </c>
      <c r="N117" t="s">
        <v>220</v>
      </c>
      <c r="O117" t="s">
        <v>109</v>
      </c>
      <c r="P117" t="s">
        <v>110</v>
      </c>
      <c r="Q117" t="s">
        <v>111</v>
      </c>
      <c r="R117" t="s">
        <v>221</v>
      </c>
    </row>
    <row r="118" spans="1:18" x14ac:dyDescent="0.25">
      <c r="A118">
        <v>34117</v>
      </c>
      <c r="B118" t="s">
        <v>521</v>
      </c>
      <c r="C118">
        <v>34117</v>
      </c>
      <c r="D118">
        <v>986</v>
      </c>
      <c r="E118" t="s">
        <v>162</v>
      </c>
      <c r="F118">
        <v>20</v>
      </c>
      <c r="G118" t="s">
        <v>522</v>
      </c>
      <c r="H118" t="s">
        <v>103</v>
      </c>
      <c r="I118" t="s">
        <v>104</v>
      </c>
      <c r="J118" t="s">
        <v>164</v>
      </c>
      <c r="K118" t="s">
        <v>165</v>
      </c>
      <c r="L118" t="s">
        <v>166</v>
      </c>
      <c r="M118">
        <v>100249</v>
      </c>
      <c r="N118" t="s">
        <v>167</v>
      </c>
      <c r="O118" t="s">
        <v>144</v>
      </c>
      <c r="P118" t="s">
        <v>110</v>
      </c>
      <c r="Q118" t="s">
        <v>111</v>
      </c>
      <c r="R118" t="s">
        <v>112</v>
      </c>
    </row>
    <row r="119" spans="1:18" x14ac:dyDescent="0.25">
      <c r="A119">
        <v>34118</v>
      </c>
      <c r="B119" t="s">
        <v>523</v>
      </c>
      <c r="C119">
        <v>34118</v>
      </c>
      <c r="D119">
        <v>1162</v>
      </c>
      <c r="E119" t="s">
        <v>147</v>
      </c>
      <c r="F119">
        <v>20</v>
      </c>
      <c r="G119" t="s">
        <v>524</v>
      </c>
      <c r="H119" t="s">
        <v>149</v>
      </c>
      <c r="I119" t="s">
        <v>150</v>
      </c>
      <c r="J119" t="s">
        <v>151</v>
      </c>
      <c r="K119" t="s">
        <v>192</v>
      </c>
      <c r="L119" t="s">
        <v>193</v>
      </c>
      <c r="M119">
        <v>100235</v>
      </c>
      <c r="N119" t="s">
        <v>194</v>
      </c>
      <c r="O119" t="s">
        <v>109</v>
      </c>
      <c r="P119" t="s">
        <v>110</v>
      </c>
      <c r="Q119" t="s">
        <v>132</v>
      </c>
      <c r="R119" t="s">
        <v>180</v>
      </c>
    </row>
    <row r="120" spans="1:18" x14ac:dyDescent="0.25">
      <c r="A120">
        <v>34119</v>
      </c>
      <c r="B120" t="s">
        <v>525</v>
      </c>
      <c r="C120">
        <v>34119</v>
      </c>
      <c r="D120">
        <v>887</v>
      </c>
      <c r="E120" t="s">
        <v>162</v>
      </c>
      <c r="F120">
        <v>12</v>
      </c>
      <c r="G120" t="s">
        <v>526</v>
      </c>
      <c r="H120" t="s">
        <v>103</v>
      </c>
      <c r="I120" t="s">
        <v>104</v>
      </c>
      <c r="J120" t="s">
        <v>164</v>
      </c>
      <c r="K120" t="s">
        <v>165</v>
      </c>
      <c r="L120" t="s">
        <v>166</v>
      </c>
      <c r="M120">
        <v>100249</v>
      </c>
      <c r="N120" t="s">
        <v>167</v>
      </c>
      <c r="O120" t="s">
        <v>109</v>
      </c>
      <c r="P120" t="s">
        <v>110</v>
      </c>
      <c r="Q120" t="s">
        <v>132</v>
      </c>
      <c r="R120" t="s">
        <v>112</v>
      </c>
    </row>
    <row r="121" spans="1:18" x14ac:dyDescent="0.25">
      <c r="A121">
        <v>34120</v>
      </c>
      <c r="B121" t="s">
        <v>528</v>
      </c>
      <c r="C121">
        <v>34120</v>
      </c>
      <c r="D121">
        <v>340</v>
      </c>
      <c r="E121" t="s">
        <v>147</v>
      </c>
      <c r="F121">
        <v>20</v>
      </c>
      <c r="G121" t="s">
        <v>529</v>
      </c>
      <c r="H121" t="s">
        <v>149</v>
      </c>
      <c r="I121" t="s">
        <v>216</v>
      </c>
      <c r="J121" t="s">
        <v>217</v>
      </c>
      <c r="K121" t="s">
        <v>343</v>
      </c>
      <c r="L121" t="s">
        <v>344</v>
      </c>
      <c r="M121">
        <v>100253</v>
      </c>
      <c r="N121" t="s">
        <v>220</v>
      </c>
      <c r="O121" t="s">
        <v>109</v>
      </c>
      <c r="P121" t="s">
        <v>110</v>
      </c>
      <c r="Q121" t="s">
        <v>111</v>
      </c>
      <c r="R121" t="s">
        <v>221</v>
      </c>
    </row>
    <row r="122" spans="1:18" x14ac:dyDescent="0.25">
      <c r="A122">
        <v>34121</v>
      </c>
      <c r="B122" t="s">
        <v>533</v>
      </c>
      <c r="C122">
        <v>34121</v>
      </c>
      <c r="D122">
        <v>4643</v>
      </c>
      <c r="E122" t="s">
        <v>119</v>
      </c>
      <c r="F122">
        <v>30</v>
      </c>
      <c r="G122" t="s">
        <v>534</v>
      </c>
      <c r="H122" t="s">
        <v>103</v>
      </c>
      <c r="I122" t="s">
        <v>104</v>
      </c>
      <c r="J122" t="s">
        <v>164</v>
      </c>
      <c r="K122" t="s">
        <v>165</v>
      </c>
      <c r="L122" t="s">
        <v>166</v>
      </c>
      <c r="M122">
        <v>100249</v>
      </c>
      <c r="N122" t="s">
        <v>167</v>
      </c>
      <c r="O122" t="s">
        <v>144</v>
      </c>
      <c r="P122" t="s">
        <v>110</v>
      </c>
      <c r="Q122" t="s">
        <v>132</v>
      </c>
      <c r="R122" t="s">
        <v>112</v>
      </c>
    </row>
    <row r="123" spans="1:18" x14ac:dyDescent="0.25">
      <c r="A123">
        <v>34122</v>
      </c>
      <c r="B123" t="s">
        <v>535</v>
      </c>
      <c r="C123">
        <v>34122</v>
      </c>
      <c r="D123">
        <v>206</v>
      </c>
      <c r="E123" t="s">
        <v>147</v>
      </c>
      <c r="F123">
        <v>20</v>
      </c>
      <c r="G123" t="s">
        <v>536</v>
      </c>
      <c r="H123" t="s">
        <v>121</v>
      </c>
      <c r="I123" t="s">
        <v>150</v>
      </c>
      <c r="J123" t="s">
        <v>175</v>
      </c>
      <c r="K123" t="s">
        <v>176</v>
      </c>
      <c r="L123" t="s">
        <v>177</v>
      </c>
      <c r="M123">
        <v>100031</v>
      </c>
      <c r="N123" t="s">
        <v>178</v>
      </c>
      <c r="O123" t="s">
        <v>179</v>
      </c>
      <c r="P123" t="s">
        <v>110</v>
      </c>
      <c r="Q123" t="s">
        <v>111</v>
      </c>
      <c r="R123" t="s">
        <v>180</v>
      </c>
    </row>
    <row r="124" spans="1:18" x14ac:dyDescent="0.25">
      <c r="A124">
        <v>34123</v>
      </c>
      <c r="B124" t="s">
        <v>537</v>
      </c>
      <c r="C124">
        <v>34123</v>
      </c>
      <c r="D124">
        <v>1097</v>
      </c>
      <c r="E124" t="s">
        <v>147</v>
      </c>
      <c r="F124">
        <v>20</v>
      </c>
      <c r="G124" t="s">
        <v>538</v>
      </c>
      <c r="H124" t="s">
        <v>149</v>
      </c>
      <c r="I124" t="s">
        <v>216</v>
      </c>
      <c r="J124" t="s">
        <v>217</v>
      </c>
      <c r="K124" t="s">
        <v>539</v>
      </c>
      <c r="L124" t="s">
        <v>540</v>
      </c>
      <c r="M124">
        <v>100253</v>
      </c>
      <c r="N124" t="s">
        <v>220</v>
      </c>
      <c r="O124" t="s">
        <v>109</v>
      </c>
      <c r="P124" t="s">
        <v>110</v>
      </c>
      <c r="Q124" t="s">
        <v>132</v>
      </c>
      <c r="R124" t="s">
        <v>221</v>
      </c>
    </row>
    <row r="125" spans="1:18" x14ac:dyDescent="0.25">
      <c r="A125">
        <v>34124</v>
      </c>
      <c r="B125" t="s">
        <v>544</v>
      </c>
      <c r="C125">
        <v>34124</v>
      </c>
      <c r="D125">
        <v>754</v>
      </c>
      <c r="E125" t="s">
        <v>147</v>
      </c>
      <c r="F125">
        <v>20</v>
      </c>
      <c r="G125" t="s">
        <v>545</v>
      </c>
      <c r="H125" t="s">
        <v>121</v>
      </c>
      <c r="I125" t="s">
        <v>150</v>
      </c>
      <c r="J125" t="s">
        <v>175</v>
      </c>
      <c r="K125" t="s">
        <v>165</v>
      </c>
      <c r="L125" t="s">
        <v>166</v>
      </c>
      <c r="M125">
        <v>100004</v>
      </c>
      <c r="N125" t="s">
        <v>189</v>
      </c>
      <c r="O125" t="s">
        <v>179</v>
      </c>
      <c r="P125" t="s">
        <v>110</v>
      </c>
      <c r="Q125" t="s">
        <v>132</v>
      </c>
      <c r="R125" t="s">
        <v>156</v>
      </c>
    </row>
    <row r="126" spans="1:18" x14ac:dyDescent="0.25">
      <c r="A126">
        <v>34125</v>
      </c>
      <c r="B126" t="s">
        <v>546</v>
      </c>
      <c r="C126">
        <v>34125</v>
      </c>
      <c r="D126">
        <v>453</v>
      </c>
      <c r="E126" t="s">
        <v>147</v>
      </c>
      <c r="F126">
        <v>20</v>
      </c>
      <c r="G126" t="s">
        <v>547</v>
      </c>
      <c r="H126" t="s">
        <v>121</v>
      </c>
      <c r="I126" t="s">
        <v>150</v>
      </c>
      <c r="J126" t="s">
        <v>175</v>
      </c>
      <c r="K126" t="s">
        <v>176</v>
      </c>
      <c r="L126" t="s">
        <v>177</v>
      </c>
      <c r="M126">
        <v>100031</v>
      </c>
      <c r="N126" t="s">
        <v>178</v>
      </c>
      <c r="O126" t="s">
        <v>179</v>
      </c>
      <c r="P126" t="s">
        <v>110</v>
      </c>
      <c r="Q126" t="s">
        <v>132</v>
      </c>
      <c r="R126" t="s">
        <v>180</v>
      </c>
    </row>
    <row r="127" spans="1:18" x14ac:dyDescent="0.25">
      <c r="A127">
        <v>34126</v>
      </c>
      <c r="B127" t="s">
        <v>548</v>
      </c>
      <c r="C127">
        <v>34126</v>
      </c>
      <c r="D127">
        <v>624</v>
      </c>
      <c r="E127" t="s">
        <v>162</v>
      </c>
      <c r="F127">
        <v>12</v>
      </c>
      <c r="G127" t="s">
        <v>549</v>
      </c>
      <c r="H127" t="s">
        <v>103</v>
      </c>
      <c r="I127" t="s">
        <v>104</v>
      </c>
      <c r="J127" t="s">
        <v>164</v>
      </c>
      <c r="K127" t="s">
        <v>165</v>
      </c>
      <c r="L127" t="s">
        <v>166</v>
      </c>
      <c r="M127">
        <v>100249</v>
      </c>
      <c r="N127" t="s">
        <v>167</v>
      </c>
      <c r="O127" t="s">
        <v>109</v>
      </c>
      <c r="P127" t="s">
        <v>110</v>
      </c>
      <c r="Q127" t="s">
        <v>111</v>
      </c>
      <c r="R127" t="s">
        <v>112</v>
      </c>
    </row>
    <row r="128" spans="1:18" x14ac:dyDescent="0.25">
      <c r="A128">
        <v>34127</v>
      </c>
      <c r="B128" t="s">
        <v>552</v>
      </c>
      <c r="C128">
        <v>34127</v>
      </c>
      <c r="D128">
        <v>1853</v>
      </c>
      <c r="E128" t="s">
        <v>147</v>
      </c>
      <c r="F128">
        <v>20</v>
      </c>
      <c r="G128" t="s">
        <v>553</v>
      </c>
      <c r="H128" t="s">
        <v>149</v>
      </c>
      <c r="I128" t="s">
        <v>274</v>
      </c>
      <c r="J128" t="s">
        <v>274</v>
      </c>
      <c r="K128" t="s">
        <v>320</v>
      </c>
      <c r="L128" t="s">
        <v>321</v>
      </c>
      <c r="M128">
        <v>100016</v>
      </c>
      <c r="N128" t="s">
        <v>322</v>
      </c>
      <c r="O128" t="s">
        <v>109</v>
      </c>
      <c r="P128" t="s">
        <v>110</v>
      </c>
      <c r="Q128" t="s">
        <v>111</v>
      </c>
      <c r="R128" t="s">
        <v>180</v>
      </c>
    </row>
    <row r="129" spans="1:18" x14ac:dyDescent="0.25">
      <c r="A129">
        <v>34128</v>
      </c>
      <c r="B129" t="s">
        <v>556</v>
      </c>
      <c r="C129">
        <v>34128</v>
      </c>
      <c r="D129">
        <v>672</v>
      </c>
      <c r="E129" t="s">
        <v>147</v>
      </c>
      <c r="F129">
        <v>20</v>
      </c>
      <c r="G129" t="s">
        <v>557</v>
      </c>
      <c r="H129" t="s">
        <v>149</v>
      </c>
      <c r="I129" t="s">
        <v>150</v>
      </c>
      <c r="J129" t="s">
        <v>151</v>
      </c>
      <c r="K129" t="s">
        <v>152</v>
      </c>
      <c r="L129" t="s">
        <v>153</v>
      </c>
      <c r="M129">
        <v>100033</v>
      </c>
      <c r="N129" t="s">
        <v>154</v>
      </c>
      <c r="O129" t="s">
        <v>155</v>
      </c>
      <c r="P129" t="s">
        <v>110</v>
      </c>
      <c r="Q129" t="s">
        <v>132</v>
      </c>
      <c r="R129" t="s">
        <v>156</v>
      </c>
    </row>
    <row r="130" spans="1:18" x14ac:dyDescent="0.25">
      <c r="A130">
        <v>34129</v>
      </c>
      <c r="B130" t="s">
        <v>558</v>
      </c>
      <c r="C130">
        <v>34129</v>
      </c>
      <c r="D130">
        <v>3230</v>
      </c>
      <c r="E130" t="s">
        <v>147</v>
      </c>
      <c r="F130">
        <v>12</v>
      </c>
      <c r="G130" t="s">
        <v>559</v>
      </c>
      <c r="H130" t="s">
        <v>149</v>
      </c>
      <c r="I130" t="s">
        <v>216</v>
      </c>
      <c r="J130" t="s">
        <v>217</v>
      </c>
      <c r="K130" t="s">
        <v>539</v>
      </c>
      <c r="L130" t="s">
        <v>540</v>
      </c>
      <c r="M130">
        <v>100253</v>
      </c>
      <c r="N130" t="s">
        <v>220</v>
      </c>
      <c r="O130" t="s">
        <v>109</v>
      </c>
      <c r="P130" t="s">
        <v>110</v>
      </c>
      <c r="Q130" t="s">
        <v>111</v>
      </c>
      <c r="R130" t="s">
        <v>221</v>
      </c>
    </row>
    <row r="131" spans="1:18" x14ac:dyDescent="0.25">
      <c r="A131">
        <v>34130</v>
      </c>
      <c r="B131" t="s">
        <v>562</v>
      </c>
      <c r="C131">
        <v>34130</v>
      </c>
      <c r="D131">
        <v>1658</v>
      </c>
      <c r="E131" t="s">
        <v>101</v>
      </c>
      <c r="F131">
        <v>20</v>
      </c>
      <c r="G131" t="s">
        <v>563</v>
      </c>
      <c r="H131" t="s">
        <v>103</v>
      </c>
      <c r="I131" t="s">
        <v>104</v>
      </c>
      <c r="J131" t="s">
        <v>105</v>
      </c>
      <c r="K131" t="s">
        <v>206</v>
      </c>
      <c r="L131" t="s">
        <v>207</v>
      </c>
      <c r="M131">
        <v>100258</v>
      </c>
      <c r="N131" t="s">
        <v>108</v>
      </c>
      <c r="O131" t="s">
        <v>144</v>
      </c>
      <c r="P131" t="s">
        <v>110</v>
      </c>
      <c r="Q131" t="s">
        <v>111</v>
      </c>
      <c r="R131" t="s">
        <v>112</v>
      </c>
    </row>
    <row r="132" spans="1:18" x14ac:dyDescent="0.25">
      <c r="A132">
        <v>34131</v>
      </c>
      <c r="B132" t="s">
        <v>564</v>
      </c>
      <c r="C132">
        <v>34131</v>
      </c>
      <c r="D132">
        <v>668</v>
      </c>
      <c r="E132" t="s">
        <v>147</v>
      </c>
      <c r="F132">
        <v>20</v>
      </c>
      <c r="G132" t="s">
        <v>565</v>
      </c>
      <c r="H132" t="s">
        <v>149</v>
      </c>
      <c r="I132" t="s">
        <v>150</v>
      </c>
      <c r="J132" t="s">
        <v>151</v>
      </c>
      <c r="K132" t="s">
        <v>152</v>
      </c>
      <c r="L132" t="s">
        <v>153</v>
      </c>
      <c r="M132">
        <v>100235</v>
      </c>
      <c r="N132" t="s">
        <v>194</v>
      </c>
      <c r="O132" t="s">
        <v>109</v>
      </c>
      <c r="P132" t="s">
        <v>110</v>
      </c>
      <c r="Q132" t="s">
        <v>111</v>
      </c>
      <c r="R132" t="s">
        <v>180</v>
      </c>
    </row>
    <row r="133" spans="1:18" x14ac:dyDescent="0.25">
      <c r="A133">
        <v>34132</v>
      </c>
      <c r="B133" t="s">
        <v>566</v>
      </c>
      <c r="C133">
        <v>34132</v>
      </c>
      <c r="D133">
        <v>2663</v>
      </c>
      <c r="E133" t="s">
        <v>449</v>
      </c>
      <c r="F133">
        <v>20</v>
      </c>
      <c r="G133" t="s">
        <v>567</v>
      </c>
      <c r="H133" t="s">
        <v>121</v>
      </c>
      <c r="I133" t="s">
        <v>150</v>
      </c>
      <c r="J133" t="s">
        <v>175</v>
      </c>
      <c r="K133" t="s">
        <v>152</v>
      </c>
      <c r="L133" t="s">
        <v>153</v>
      </c>
      <c r="M133">
        <v>100219</v>
      </c>
      <c r="N133" t="s">
        <v>284</v>
      </c>
      <c r="O133" t="s">
        <v>179</v>
      </c>
      <c r="P133" t="s">
        <v>110</v>
      </c>
      <c r="Q133" t="s">
        <v>132</v>
      </c>
      <c r="R133" t="s">
        <v>156</v>
      </c>
    </row>
    <row r="134" spans="1:18" x14ac:dyDescent="0.25">
      <c r="A134">
        <v>34133</v>
      </c>
      <c r="B134" t="s">
        <v>568</v>
      </c>
      <c r="C134">
        <v>34133</v>
      </c>
      <c r="D134">
        <v>855</v>
      </c>
      <c r="E134" t="s">
        <v>119</v>
      </c>
      <c r="F134">
        <v>30</v>
      </c>
      <c r="G134" t="s">
        <v>569</v>
      </c>
      <c r="H134" t="s">
        <v>121</v>
      </c>
      <c r="I134" t="s">
        <v>150</v>
      </c>
      <c r="J134" t="s">
        <v>175</v>
      </c>
      <c r="K134" t="s">
        <v>152</v>
      </c>
      <c r="L134" t="s">
        <v>153</v>
      </c>
      <c r="M134">
        <v>100219</v>
      </c>
      <c r="N134" t="s">
        <v>284</v>
      </c>
      <c r="O134" t="s">
        <v>179</v>
      </c>
      <c r="P134" t="s">
        <v>110</v>
      </c>
      <c r="Q134" t="s">
        <v>132</v>
      </c>
      <c r="R134" t="s">
        <v>156</v>
      </c>
    </row>
    <row r="135" spans="1:18" x14ac:dyDescent="0.25">
      <c r="A135">
        <v>34134</v>
      </c>
      <c r="B135" t="s">
        <v>570</v>
      </c>
      <c r="C135">
        <v>34134</v>
      </c>
      <c r="D135">
        <v>716</v>
      </c>
      <c r="E135" t="s">
        <v>147</v>
      </c>
      <c r="F135">
        <v>20</v>
      </c>
      <c r="G135" t="s">
        <v>571</v>
      </c>
      <c r="H135" t="s">
        <v>149</v>
      </c>
      <c r="I135" t="s">
        <v>216</v>
      </c>
      <c r="J135" t="s">
        <v>217</v>
      </c>
      <c r="K135" t="s">
        <v>539</v>
      </c>
      <c r="L135" t="s">
        <v>540</v>
      </c>
      <c r="M135">
        <v>100253</v>
      </c>
      <c r="N135" t="s">
        <v>220</v>
      </c>
      <c r="O135" t="s">
        <v>109</v>
      </c>
      <c r="P135" t="s">
        <v>110</v>
      </c>
      <c r="Q135" t="s">
        <v>111</v>
      </c>
      <c r="R135" t="s">
        <v>221</v>
      </c>
    </row>
    <row r="136" spans="1:18" x14ac:dyDescent="0.25">
      <c r="A136">
        <v>34135</v>
      </c>
      <c r="B136" t="s">
        <v>574</v>
      </c>
      <c r="C136">
        <v>34135</v>
      </c>
      <c r="D136">
        <v>2296</v>
      </c>
      <c r="E136" t="s">
        <v>101</v>
      </c>
      <c r="F136">
        <v>20</v>
      </c>
      <c r="G136" t="s">
        <v>575</v>
      </c>
      <c r="H136" t="s">
        <v>103</v>
      </c>
      <c r="I136" t="s">
        <v>104</v>
      </c>
      <c r="J136" t="s">
        <v>105</v>
      </c>
      <c r="K136" t="s">
        <v>576</v>
      </c>
      <c r="L136" t="s">
        <v>577</v>
      </c>
      <c r="M136">
        <v>100015</v>
      </c>
      <c r="N136" t="s">
        <v>377</v>
      </c>
      <c r="O136" t="s">
        <v>109</v>
      </c>
      <c r="P136" t="s">
        <v>110</v>
      </c>
      <c r="Q136" t="s">
        <v>111</v>
      </c>
      <c r="R136" t="s">
        <v>156</v>
      </c>
    </row>
    <row r="137" spans="1:18" x14ac:dyDescent="0.25">
      <c r="A137">
        <v>34136</v>
      </c>
      <c r="B137" t="s">
        <v>580</v>
      </c>
      <c r="C137">
        <v>34136</v>
      </c>
      <c r="D137">
        <v>624</v>
      </c>
      <c r="E137" t="s">
        <v>202</v>
      </c>
      <c r="F137">
        <v>20</v>
      </c>
      <c r="G137" t="s">
        <v>581</v>
      </c>
      <c r="H137" t="s">
        <v>121</v>
      </c>
      <c r="I137" t="s">
        <v>105</v>
      </c>
      <c r="J137" t="s">
        <v>122</v>
      </c>
      <c r="K137" t="s">
        <v>123</v>
      </c>
      <c r="L137" t="s">
        <v>124</v>
      </c>
      <c r="M137">
        <v>100181</v>
      </c>
      <c r="N137" t="s">
        <v>125</v>
      </c>
      <c r="O137" t="s">
        <v>109</v>
      </c>
      <c r="P137" t="s">
        <v>110</v>
      </c>
      <c r="Q137" t="s">
        <v>132</v>
      </c>
      <c r="R137" t="s">
        <v>180</v>
      </c>
    </row>
    <row r="138" spans="1:18" x14ac:dyDescent="0.25">
      <c r="A138">
        <v>34137</v>
      </c>
      <c r="B138" t="s">
        <v>583</v>
      </c>
      <c r="C138">
        <v>34137</v>
      </c>
      <c r="D138">
        <v>793</v>
      </c>
      <c r="E138" t="s">
        <v>119</v>
      </c>
      <c r="F138">
        <v>30</v>
      </c>
      <c r="G138" t="s">
        <v>584</v>
      </c>
      <c r="H138" t="s">
        <v>121</v>
      </c>
      <c r="I138" t="s">
        <v>150</v>
      </c>
      <c r="J138" t="s">
        <v>175</v>
      </c>
      <c r="K138" t="s">
        <v>165</v>
      </c>
      <c r="L138" t="s">
        <v>166</v>
      </c>
      <c r="M138">
        <v>100004</v>
      </c>
      <c r="N138" t="s">
        <v>189</v>
      </c>
      <c r="O138" t="s">
        <v>179</v>
      </c>
      <c r="P138" t="s">
        <v>110</v>
      </c>
      <c r="Q138" t="s">
        <v>132</v>
      </c>
      <c r="R138" t="s">
        <v>156</v>
      </c>
    </row>
    <row r="139" spans="1:18" x14ac:dyDescent="0.25">
      <c r="A139">
        <v>34138</v>
      </c>
      <c r="B139" t="s">
        <v>585</v>
      </c>
      <c r="C139">
        <v>34138</v>
      </c>
      <c r="D139">
        <v>616</v>
      </c>
      <c r="E139" t="s">
        <v>119</v>
      </c>
      <c r="F139">
        <v>30</v>
      </c>
      <c r="G139" t="s">
        <v>586</v>
      </c>
      <c r="H139" t="s">
        <v>121</v>
      </c>
      <c r="I139" t="s">
        <v>150</v>
      </c>
      <c r="J139" t="s">
        <v>175</v>
      </c>
      <c r="K139" t="s">
        <v>123</v>
      </c>
      <c r="L139" t="s">
        <v>124</v>
      </c>
      <c r="M139">
        <v>100004</v>
      </c>
      <c r="N139" t="s">
        <v>189</v>
      </c>
      <c r="O139" t="s">
        <v>179</v>
      </c>
      <c r="P139" t="s">
        <v>110</v>
      </c>
      <c r="Q139" t="s">
        <v>111</v>
      </c>
      <c r="R139" t="s">
        <v>156</v>
      </c>
    </row>
    <row r="140" spans="1:18" x14ac:dyDescent="0.25">
      <c r="A140">
        <v>34139</v>
      </c>
      <c r="B140" t="s">
        <v>587</v>
      </c>
      <c r="C140">
        <v>34139</v>
      </c>
      <c r="D140">
        <v>860</v>
      </c>
      <c r="E140" t="s">
        <v>101</v>
      </c>
      <c r="F140">
        <v>20</v>
      </c>
      <c r="G140" t="s">
        <v>588</v>
      </c>
      <c r="H140" t="s">
        <v>103</v>
      </c>
      <c r="I140" t="s">
        <v>105</v>
      </c>
      <c r="J140" t="s">
        <v>105</v>
      </c>
      <c r="K140" t="s">
        <v>241</v>
      </c>
      <c r="L140" t="s">
        <v>242</v>
      </c>
      <c r="M140">
        <v>100002</v>
      </c>
      <c r="N140" t="s">
        <v>171</v>
      </c>
      <c r="O140" t="s">
        <v>109</v>
      </c>
      <c r="P140" t="s">
        <v>110</v>
      </c>
      <c r="Q140" t="s">
        <v>132</v>
      </c>
      <c r="R140" t="s">
        <v>156</v>
      </c>
    </row>
    <row r="141" spans="1:18" x14ac:dyDescent="0.25">
      <c r="A141">
        <v>34140</v>
      </c>
      <c r="B141" t="s">
        <v>590</v>
      </c>
      <c r="C141">
        <v>34140</v>
      </c>
      <c r="D141">
        <v>339</v>
      </c>
      <c r="E141" t="s">
        <v>101</v>
      </c>
      <c r="F141">
        <v>20</v>
      </c>
      <c r="G141" t="s">
        <v>591</v>
      </c>
      <c r="H141" t="s">
        <v>103</v>
      </c>
      <c r="I141" t="s">
        <v>105</v>
      </c>
      <c r="J141" t="s">
        <v>105</v>
      </c>
      <c r="K141" t="s">
        <v>423</v>
      </c>
      <c r="L141" t="s">
        <v>424</v>
      </c>
      <c r="M141">
        <v>100002</v>
      </c>
      <c r="N141" t="s">
        <v>171</v>
      </c>
      <c r="O141" t="s">
        <v>109</v>
      </c>
      <c r="P141" t="s">
        <v>110</v>
      </c>
      <c r="Q141" t="s">
        <v>111</v>
      </c>
      <c r="R141" t="s">
        <v>156</v>
      </c>
    </row>
    <row r="142" spans="1:18" x14ac:dyDescent="0.25">
      <c r="A142">
        <v>34141</v>
      </c>
      <c r="B142" t="s">
        <v>593</v>
      </c>
      <c r="C142">
        <v>34141</v>
      </c>
      <c r="D142">
        <v>3118</v>
      </c>
      <c r="E142" t="s">
        <v>119</v>
      </c>
      <c r="F142">
        <v>30</v>
      </c>
      <c r="G142" t="s">
        <v>594</v>
      </c>
      <c r="H142" t="s">
        <v>103</v>
      </c>
      <c r="I142" t="s">
        <v>104</v>
      </c>
      <c r="J142" t="s">
        <v>140</v>
      </c>
      <c r="K142" t="s">
        <v>141</v>
      </c>
      <c r="L142" t="s">
        <v>142</v>
      </c>
      <c r="M142">
        <v>100257</v>
      </c>
      <c r="N142" t="s">
        <v>143</v>
      </c>
      <c r="O142" t="s">
        <v>144</v>
      </c>
      <c r="P142" t="s">
        <v>110</v>
      </c>
      <c r="Q142" t="s">
        <v>111</v>
      </c>
      <c r="R142" t="s">
        <v>112</v>
      </c>
    </row>
    <row r="143" spans="1:18" x14ac:dyDescent="0.25">
      <c r="A143">
        <v>34142</v>
      </c>
      <c r="B143" t="s">
        <v>449</v>
      </c>
      <c r="C143">
        <v>34142</v>
      </c>
      <c r="D143">
        <v>2327</v>
      </c>
      <c r="E143" t="s">
        <v>449</v>
      </c>
      <c r="F143">
        <v>11</v>
      </c>
      <c r="G143" t="s">
        <v>595</v>
      </c>
      <c r="H143" t="s">
        <v>121</v>
      </c>
      <c r="I143" t="s">
        <v>150</v>
      </c>
      <c r="J143" t="s">
        <v>175</v>
      </c>
      <c r="K143" t="s">
        <v>152</v>
      </c>
      <c r="L143" t="s">
        <v>153</v>
      </c>
      <c r="M143">
        <v>100219</v>
      </c>
      <c r="N143" t="s">
        <v>284</v>
      </c>
      <c r="O143" t="s">
        <v>179</v>
      </c>
      <c r="P143" t="s">
        <v>110</v>
      </c>
      <c r="Q143" t="s">
        <v>111</v>
      </c>
      <c r="R143" t="s">
        <v>156</v>
      </c>
    </row>
    <row r="144" spans="1:18" x14ac:dyDescent="0.25">
      <c r="A144">
        <v>34143</v>
      </c>
      <c r="B144" t="s">
        <v>597</v>
      </c>
      <c r="C144">
        <v>34143</v>
      </c>
      <c r="D144">
        <v>2320</v>
      </c>
      <c r="E144" t="s">
        <v>147</v>
      </c>
      <c r="F144">
        <v>20</v>
      </c>
      <c r="G144" t="s">
        <v>598</v>
      </c>
      <c r="H144" t="s">
        <v>121</v>
      </c>
      <c r="I144" t="s">
        <v>227</v>
      </c>
      <c r="J144" t="s">
        <v>122</v>
      </c>
      <c r="K144" t="s">
        <v>123</v>
      </c>
      <c r="L144" t="s">
        <v>124</v>
      </c>
      <c r="M144">
        <v>100259</v>
      </c>
      <c r="N144" t="s">
        <v>230</v>
      </c>
      <c r="O144" t="s">
        <v>109</v>
      </c>
      <c r="P144" t="s">
        <v>110</v>
      </c>
      <c r="Q144" t="s">
        <v>111</v>
      </c>
      <c r="R144" t="s">
        <v>221</v>
      </c>
    </row>
    <row r="145" spans="1:18" x14ac:dyDescent="0.25">
      <c r="A145">
        <v>34144</v>
      </c>
      <c r="B145" t="s">
        <v>601</v>
      </c>
      <c r="C145">
        <v>34144</v>
      </c>
      <c r="D145">
        <v>4491</v>
      </c>
      <c r="E145" t="s">
        <v>162</v>
      </c>
      <c r="F145">
        <v>20</v>
      </c>
      <c r="G145" t="s">
        <v>602</v>
      </c>
      <c r="H145" t="s">
        <v>103</v>
      </c>
      <c r="I145" t="s">
        <v>104</v>
      </c>
      <c r="J145" t="s">
        <v>164</v>
      </c>
      <c r="K145" t="s">
        <v>165</v>
      </c>
      <c r="L145" t="s">
        <v>166</v>
      </c>
      <c r="M145">
        <v>100249</v>
      </c>
      <c r="N145" t="s">
        <v>167</v>
      </c>
      <c r="O145" t="s">
        <v>144</v>
      </c>
      <c r="P145" t="s">
        <v>110</v>
      </c>
      <c r="Q145" t="s">
        <v>111</v>
      </c>
      <c r="R145" t="s">
        <v>112</v>
      </c>
    </row>
    <row r="146" spans="1:18" x14ac:dyDescent="0.25">
      <c r="A146">
        <v>34145</v>
      </c>
      <c r="B146" t="s">
        <v>603</v>
      </c>
      <c r="C146">
        <v>34145</v>
      </c>
      <c r="D146">
        <v>2427</v>
      </c>
      <c r="E146" t="s">
        <v>147</v>
      </c>
      <c r="F146">
        <v>20</v>
      </c>
      <c r="G146" t="s">
        <v>604</v>
      </c>
      <c r="H146" t="s">
        <v>149</v>
      </c>
      <c r="I146" t="s">
        <v>274</v>
      </c>
      <c r="J146" t="s">
        <v>274</v>
      </c>
      <c r="K146" t="s">
        <v>275</v>
      </c>
      <c r="L146" t="s">
        <v>276</v>
      </c>
      <c r="M146">
        <v>100017</v>
      </c>
      <c r="N146" t="s">
        <v>277</v>
      </c>
      <c r="O146" t="s">
        <v>109</v>
      </c>
      <c r="P146" t="s">
        <v>110</v>
      </c>
      <c r="Q146" t="s">
        <v>111</v>
      </c>
      <c r="R146" t="s">
        <v>180</v>
      </c>
    </row>
    <row r="147" spans="1:18" x14ac:dyDescent="0.25">
      <c r="A147">
        <v>34146</v>
      </c>
      <c r="B147" t="s">
        <v>607</v>
      </c>
      <c r="C147">
        <v>34146</v>
      </c>
      <c r="D147">
        <v>1213</v>
      </c>
      <c r="E147" t="s">
        <v>147</v>
      </c>
      <c r="F147">
        <v>20</v>
      </c>
      <c r="G147" t="s">
        <v>608</v>
      </c>
      <c r="H147" t="s">
        <v>149</v>
      </c>
      <c r="I147" t="s">
        <v>274</v>
      </c>
      <c r="J147" t="s">
        <v>274</v>
      </c>
      <c r="K147" t="s">
        <v>275</v>
      </c>
      <c r="L147" t="s">
        <v>276</v>
      </c>
      <c r="M147">
        <v>100017</v>
      </c>
      <c r="N147" t="s">
        <v>277</v>
      </c>
      <c r="O147" t="s">
        <v>109</v>
      </c>
      <c r="P147" t="s">
        <v>110</v>
      </c>
      <c r="Q147" t="s">
        <v>132</v>
      </c>
      <c r="R147" t="s">
        <v>180</v>
      </c>
    </row>
    <row r="148" spans="1:18" x14ac:dyDescent="0.25">
      <c r="A148">
        <v>34147</v>
      </c>
      <c r="B148" t="s">
        <v>612</v>
      </c>
      <c r="C148">
        <v>34147</v>
      </c>
      <c r="D148">
        <v>2085</v>
      </c>
      <c r="E148" t="s">
        <v>101</v>
      </c>
      <c r="F148">
        <v>20</v>
      </c>
      <c r="G148" t="s">
        <v>613</v>
      </c>
      <c r="H148" t="s">
        <v>103</v>
      </c>
      <c r="I148" t="s">
        <v>104</v>
      </c>
      <c r="J148" t="s">
        <v>105</v>
      </c>
      <c r="K148" t="s">
        <v>206</v>
      </c>
      <c r="L148" t="s">
        <v>207</v>
      </c>
      <c r="M148">
        <v>100258</v>
      </c>
      <c r="N148" t="s">
        <v>108</v>
      </c>
      <c r="O148" t="s">
        <v>109</v>
      </c>
      <c r="P148" t="s">
        <v>110</v>
      </c>
      <c r="Q148" t="s">
        <v>132</v>
      </c>
      <c r="R148" t="s">
        <v>112</v>
      </c>
    </row>
    <row r="149" spans="1:18" x14ac:dyDescent="0.25">
      <c r="A149">
        <v>34148</v>
      </c>
      <c r="B149" t="s">
        <v>615</v>
      </c>
      <c r="C149">
        <v>34148</v>
      </c>
      <c r="D149">
        <v>1241</v>
      </c>
      <c r="E149" t="s">
        <v>101</v>
      </c>
      <c r="F149">
        <v>20</v>
      </c>
      <c r="G149" t="s">
        <v>616</v>
      </c>
      <c r="H149" t="s">
        <v>103</v>
      </c>
      <c r="I149" t="s">
        <v>104</v>
      </c>
      <c r="J149" t="s">
        <v>105</v>
      </c>
      <c r="K149" t="s">
        <v>206</v>
      </c>
      <c r="L149" t="s">
        <v>207</v>
      </c>
      <c r="M149">
        <v>100015</v>
      </c>
      <c r="N149" t="s">
        <v>377</v>
      </c>
      <c r="O149" t="s">
        <v>109</v>
      </c>
      <c r="P149" t="s">
        <v>110</v>
      </c>
      <c r="Q149" t="s">
        <v>111</v>
      </c>
      <c r="R149" t="s">
        <v>156</v>
      </c>
    </row>
    <row r="150" spans="1:18" x14ac:dyDescent="0.25">
      <c r="A150">
        <v>34149</v>
      </c>
      <c r="B150" t="s">
        <v>620</v>
      </c>
      <c r="C150">
        <v>34149</v>
      </c>
      <c r="D150">
        <v>453</v>
      </c>
      <c r="E150" t="s">
        <v>101</v>
      </c>
      <c r="F150">
        <v>20</v>
      </c>
      <c r="G150" t="s">
        <v>621</v>
      </c>
      <c r="H150" t="s">
        <v>103</v>
      </c>
      <c r="I150" t="s">
        <v>104</v>
      </c>
      <c r="J150" t="s">
        <v>105</v>
      </c>
      <c r="K150" t="s">
        <v>206</v>
      </c>
      <c r="L150" t="s">
        <v>207</v>
      </c>
      <c r="M150">
        <v>100258</v>
      </c>
      <c r="N150" t="s">
        <v>108</v>
      </c>
      <c r="O150" t="s">
        <v>144</v>
      </c>
      <c r="P150" t="s">
        <v>110</v>
      </c>
      <c r="Q150" t="s">
        <v>111</v>
      </c>
      <c r="R150" t="s">
        <v>112</v>
      </c>
    </row>
    <row r="151" spans="1:18" x14ac:dyDescent="0.25">
      <c r="A151">
        <v>34150</v>
      </c>
      <c r="B151" t="s">
        <v>623</v>
      </c>
      <c r="C151">
        <v>34150</v>
      </c>
      <c r="D151">
        <v>5310</v>
      </c>
      <c r="E151" t="s">
        <v>128</v>
      </c>
      <c r="F151">
        <v>20</v>
      </c>
      <c r="G151" t="s">
        <v>624</v>
      </c>
      <c r="H151" t="s">
        <v>121</v>
      </c>
      <c r="I151" t="s">
        <v>227</v>
      </c>
      <c r="J151" t="s">
        <v>122</v>
      </c>
      <c r="K151" t="s">
        <v>130</v>
      </c>
      <c r="L151" t="s">
        <v>131</v>
      </c>
      <c r="M151">
        <v>100259</v>
      </c>
      <c r="N151" t="s">
        <v>230</v>
      </c>
      <c r="O151" t="s">
        <v>109</v>
      </c>
      <c r="P151" t="s">
        <v>110</v>
      </c>
      <c r="Q151" t="s">
        <v>132</v>
      </c>
      <c r="R151" t="s">
        <v>221</v>
      </c>
    </row>
    <row r="152" spans="1:18" x14ac:dyDescent="0.25">
      <c r="A152">
        <v>34151</v>
      </c>
      <c r="B152" t="s">
        <v>628</v>
      </c>
      <c r="C152">
        <v>34151</v>
      </c>
      <c r="D152">
        <v>4239</v>
      </c>
      <c r="E152" t="s">
        <v>147</v>
      </c>
      <c r="F152">
        <v>20</v>
      </c>
      <c r="G152" t="s">
        <v>629</v>
      </c>
      <c r="H152" t="s">
        <v>149</v>
      </c>
      <c r="I152" t="s">
        <v>274</v>
      </c>
      <c r="J152" t="s">
        <v>274</v>
      </c>
      <c r="K152" t="s">
        <v>275</v>
      </c>
      <c r="L152" t="s">
        <v>276</v>
      </c>
      <c r="M152">
        <v>100017</v>
      </c>
      <c r="N152" t="s">
        <v>277</v>
      </c>
      <c r="O152" t="s">
        <v>109</v>
      </c>
      <c r="P152" t="s">
        <v>110</v>
      </c>
      <c r="Q152" t="s">
        <v>132</v>
      </c>
      <c r="R152" t="s">
        <v>180</v>
      </c>
    </row>
    <row r="153" spans="1:18" x14ac:dyDescent="0.25">
      <c r="A153">
        <v>34152</v>
      </c>
      <c r="B153" t="s">
        <v>634</v>
      </c>
      <c r="C153">
        <v>34152</v>
      </c>
      <c r="D153">
        <v>1927</v>
      </c>
      <c r="E153" t="s">
        <v>147</v>
      </c>
      <c r="F153">
        <v>20</v>
      </c>
      <c r="G153" t="s">
        <v>635</v>
      </c>
      <c r="H153" t="s">
        <v>149</v>
      </c>
      <c r="I153" t="s">
        <v>150</v>
      </c>
      <c r="J153" t="s">
        <v>151</v>
      </c>
      <c r="K153" t="s">
        <v>152</v>
      </c>
      <c r="L153" t="s">
        <v>153</v>
      </c>
      <c r="M153">
        <v>100235</v>
      </c>
      <c r="N153" t="s">
        <v>194</v>
      </c>
      <c r="O153" t="s">
        <v>109</v>
      </c>
      <c r="P153" t="s">
        <v>110</v>
      </c>
      <c r="Q153" t="s">
        <v>132</v>
      </c>
      <c r="R153" t="s">
        <v>180</v>
      </c>
    </row>
    <row r="154" spans="1:18" x14ac:dyDescent="0.25">
      <c r="A154">
        <v>34153</v>
      </c>
      <c r="B154" t="s">
        <v>636</v>
      </c>
      <c r="C154">
        <v>34153</v>
      </c>
      <c r="D154">
        <v>1678</v>
      </c>
      <c r="E154" t="s">
        <v>147</v>
      </c>
      <c r="F154">
        <v>20</v>
      </c>
      <c r="G154" t="s">
        <v>637</v>
      </c>
      <c r="H154" t="s">
        <v>149</v>
      </c>
      <c r="I154" t="s">
        <v>150</v>
      </c>
      <c r="J154" t="s">
        <v>151</v>
      </c>
      <c r="K154" t="s">
        <v>192</v>
      </c>
      <c r="L154" t="s">
        <v>193</v>
      </c>
      <c r="M154">
        <v>100235</v>
      </c>
      <c r="N154" t="s">
        <v>194</v>
      </c>
      <c r="O154" t="s">
        <v>109</v>
      </c>
      <c r="P154" t="s">
        <v>110</v>
      </c>
      <c r="Q154" t="s">
        <v>111</v>
      </c>
      <c r="R154" t="s">
        <v>180</v>
      </c>
    </row>
    <row r="155" spans="1:18" x14ac:dyDescent="0.25">
      <c r="A155">
        <v>34154</v>
      </c>
      <c r="B155" t="s">
        <v>638</v>
      </c>
      <c r="C155">
        <v>34154</v>
      </c>
      <c r="D155">
        <v>7691</v>
      </c>
      <c r="E155" t="s">
        <v>147</v>
      </c>
      <c r="F155">
        <v>20</v>
      </c>
      <c r="G155" t="s">
        <v>639</v>
      </c>
      <c r="H155" t="s">
        <v>149</v>
      </c>
      <c r="I155" t="s">
        <v>274</v>
      </c>
      <c r="J155" t="s">
        <v>274</v>
      </c>
      <c r="K155" t="s">
        <v>320</v>
      </c>
      <c r="L155" t="s">
        <v>321</v>
      </c>
      <c r="M155">
        <v>100016</v>
      </c>
      <c r="N155" t="s">
        <v>322</v>
      </c>
      <c r="O155" t="s">
        <v>109</v>
      </c>
      <c r="P155" t="s">
        <v>110</v>
      </c>
      <c r="Q155" t="s">
        <v>111</v>
      </c>
      <c r="R155" t="s">
        <v>180</v>
      </c>
    </row>
    <row r="156" spans="1:18" x14ac:dyDescent="0.25">
      <c r="A156">
        <v>34155</v>
      </c>
      <c r="B156" t="s">
        <v>641</v>
      </c>
      <c r="C156">
        <v>34155</v>
      </c>
      <c r="D156">
        <v>1039</v>
      </c>
      <c r="E156" t="s">
        <v>101</v>
      </c>
      <c r="F156">
        <v>20</v>
      </c>
      <c r="G156" t="s">
        <v>642</v>
      </c>
      <c r="H156" t="s">
        <v>103</v>
      </c>
      <c r="I156" t="s">
        <v>104</v>
      </c>
      <c r="J156" t="s">
        <v>140</v>
      </c>
      <c r="K156" t="s">
        <v>206</v>
      </c>
      <c r="L156" t="s">
        <v>207</v>
      </c>
      <c r="M156">
        <v>100015</v>
      </c>
      <c r="N156" t="s">
        <v>377</v>
      </c>
      <c r="O156" t="s">
        <v>109</v>
      </c>
      <c r="P156" t="s">
        <v>110</v>
      </c>
      <c r="Q156" t="s">
        <v>132</v>
      </c>
      <c r="R156" t="s">
        <v>156</v>
      </c>
    </row>
    <row r="157" spans="1:18" x14ac:dyDescent="0.25">
      <c r="A157">
        <v>34156</v>
      </c>
      <c r="B157" t="s">
        <v>644</v>
      </c>
      <c r="C157">
        <v>34156</v>
      </c>
      <c r="D157">
        <v>671</v>
      </c>
      <c r="E157" t="s">
        <v>119</v>
      </c>
      <c r="F157">
        <v>30</v>
      </c>
      <c r="G157" t="s">
        <v>645</v>
      </c>
      <c r="H157" t="s">
        <v>121</v>
      </c>
      <c r="I157" t="s">
        <v>150</v>
      </c>
      <c r="J157" t="s">
        <v>164</v>
      </c>
      <c r="K157" t="s">
        <v>165</v>
      </c>
      <c r="L157" t="s">
        <v>166</v>
      </c>
      <c r="M157">
        <v>100004</v>
      </c>
      <c r="N157" t="s">
        <v>189</v>
      </c>
      <c r="O157" t="s">
        <v>179</v>
      </c>
      <c r="P157" t="s">
        <v>110</v>
      </c>
      <c r="Q157" t="s">
        <v>132</v>
      </c>
      <c r="R157" t="s">
        <v>156</v>
      </c>
    </row>
    <row r="158" spans="1:18" x14ac:dyDescent="0.25">
      <c r="A158">
        <v>34157</v>
      </c>
      <c r="B158" t="s">
        <v>646</v>
      </c>
      <c r="C158">
        <v>34157</v>
      </c>
      <c r="D158">
        <v>4776</v>
      </c>
      <c r="E158" t="s">
        <v>147</v>
      </c>
      <c r="F158">
        <v>20</v>
      </c>
      <c r="G158" t="s">
        <v>647</v>
      </c>
      <c r="H158" t="s">
        <v>121</v>
      </c>
      <c r="I158" t="s">
        <v>227</v>
      </c>
      <c r="J158" t="s">
        <v>122</v>
      </c>
      <c r="K158" t="s">
        <v>123</v>
      </c>
      <c r="L158" t="s">
        <v>124</v>
      </c>
      <c r="M158">
        <v>100259</v>
      </c>
      <c r="N158" t="s">
        <v>230</v>
      </c>
      <c r="O158" t="s">
        <v>109</v>
      </c>
      <c r="P158" t="s">
        <v>110</v>
      </c>
      <c r="Q158" t="s">
        <v>111</v>
      </c>
      <c r="R158" t="s">
        <v>221</v>
      </c>
    </row>
    <row r="159" spans="1:18" x14ac:dyDescent="0.25">
      <c r="A159">
        <v>34158</v>
      </c>
      <c r="B159" t="s">
        <v>651</v>
      </c>
      <c r="C159">
        <v>34158</v>
      </c>
      <c r="D159">
        <v>2765</v>
      </c>
      <c r="E159" t="s">
        <v>119</v>
      </c>
      <c r="F159">
        <v>30</v>
      </c>
      <c r="G159" t="s">
        <v>652</v>
      </c>
      <c r="H159" t="s">
        <v>103</v>
      </c>
      <c r="I159" t="s">
        <v>104</v>
      </c>
      <c r="J159" t="s">
        <v>140</v>
      </c>
      <c r="K159" t="s">
        <v>141</v>
      </c>
      <c r="L159" t="s">
        <v>142</v>
      </c>
      <c r="M159">
        <v>100257</v>
      </c>
      <c r="N159" t="s">
        <v>143</v>
      </c>
      <c r="O159" t="s">
        <v>144</v>
      </c>
      <c r="P159" t="s">
        <v>110</v>
      </c>
      <c r="Q159" t="s">
        <v>111</v>
      </c>
      <c r="R159" t="s">
        <v>112</v>
      </c>
    </row>
    <row r="160" spans="1:18" x14ac:dyDescent="0.25">
      <c r="A160">
        <v>34159</v>
      </c>
      <c r="B160" t="s">
        <v>653</v>
      </c>
      <c r="C160">
        <v>34159</v>
      </c>
      <c r="D160">
        <v>1127</v>
      </c>
      <c r="E160" t="s">
        <v>147</v>
      </c>
      <c r="F160">
        <v>20</v>
      </c>
      <c r="G160" t="s">
        <v>654</v>
      </c>
      <c r="H160" t="s">
        <v>121</v>
      </c>
      <c r="I160" t="s">
        <v>227</v>
      </c>
      <c r="J160" t="s">
        <v>122</v>
      </c>
      <c r="K160" t="s">
        <v>228</v>
      </c>
      <c r="L160" t="s">
        <v>229</v>
      </c>
      <c r="M160">
        <v>100259</v>
      </c>
      <c r="N160" t="s">
        <v>230</v>
      </c>
      <c r="O160" t="s">
        <v>109</v>
      </c>
      <c r="P160" t="s">
        <v>110</v>
      </c>
      <c r="Q160" t="s">
        <v>132</v>
      </c>
      <c r="R160" t="s">
        <v>221</v>
      </c>
    </row>
    <row r="161" spans="1:18" x14ac:dyDescent="0.25">
      <c r="A161">
        <v>34160</v>
      </c>
      <c r="B161" t="s">
        <v>657</v>
      </c>
      <c r="C161">
        <v>34160</v>
      </c>
      <c r="D161">
        <v>2189</v>
      </c>
      <c r="E161" t="s">
        <v>162</v>
      </c>
      <c r="F161">
        <v>20</v>
      </c>
      <c r="G161" t="s">
        <v>658</v>
      </c>
      <c r="H161" t="s">
        <v>103</v>
      </c>
      <c r="I161" t="s">
        <v>104</v>
      </c>
      <c r="J161" t="s">
        <v>259</v>
      </c>
      <c r="K161" t="s">
        <v>141</v>
      </c>
      <c r="L161" t="s">
        <v>142</v>
      </c>
      <c r="M161">
        <v>100257</v>
      </c>
      <c r="N161" t="s">
        <v>143</v>
      </c>
      <c r="O161" t="s">
        <v>144</v>
      </c>
      <c r="P161" t="s">
        <v>110</v>
      </c>
      <c r="Q161" t="s">
        <v>111</v>
      </c>
      <c r="R161" t="s">
        <v>112</v>
      </c>
    </row>
    <row r="162" spans="1:18" x14ac:dyDescent="0.25">
      <c r="A162">
        <v>34161</v>
      </c>
      <c r="B162" t="s">
        <v>659</v>
      </c>
      <c r="C162">
        <v>34161</v>
      </c>
      <c r="D162">
        <v>992</v>
      </c>
      <c r="E162" t="s">
        <v>101</v>
      </c>
      <c r="F162">
        <v>20</v>
      </c>
      <c r="G162" t="s">
        <v>660</v>
      </c>
      <c r="H162" t="s">
        <v>103</v>
      </c>
      <c r="I162" t="s">
        <v>104</v>
      </c>
      <c r="J162" t="s">
        <v>140</v>
      </c>
      <c r="K162" t="s">
        <v>206</v>
      </c>
      <c r="L162" t="s">
        <v>207</v>
      </c>
      <c r="M162">
        <v>100015</v>
      </c>
      <c r="N162" t="s">
        <v>377</v>
      </c>
      <c r="O162" t="s">
        <v>109</v>
      </c>
      <c r="P162" t="s">
        <v>110</v>
      </c>
      <c r="Q162" t="s">
        <v>132</v>
      </c>
      <c r="R162" t="s">
        <v>156</v>
      </c>
    </row>
    <row r="163" spans="1:18" x14ac:dyDescent="0.25">
      <c r="A163">
        <v>34162</v>
      </c>
      <c r="B163" t="s">
        <v>663</v>
      </c>
      <c r="C163">
        <v>34162</v>
      </c>
      <c r="D163">
        <v>3998</v>
      </c>
      <c r="E163" t="s">
        <v>119</v>
      </c>
      <c r="F163">
        <v>30</v>
      </c>
      <c r="G163" t="s">
        <v>664</v>
      </c>
      <c r="H163" t="s">
        <v>121</v>
      </c>
      <c r="I163" t="s">
        <v>105</v>
      </c>
      <c r="J163" t="s">
        <v>122</v>
      </c>
      <c r="K163" t="s">
        <v>123</v>
      </c>
      <c r="L163" t="s">
        <v>124</v>
      </c>
      <c r="M163">
        <v>100181</v>
      </c>
      <c r="N163" t="s">
        <v>125</v>
      </c>
      <c r="O163" t="s">
        <v>109</v>
      </c>
      <c r="P163" t="s">
        <v>110</v>
      </c>
      <c r="Q163" t="s">
        <v>111</v>
      </c>
      <c r="R163" t="s">
        <v>180</v>
      </c>
    </row>
    <row r="164" spans="1:18" x14ac:dyDescent="0.25">
      <c r="A164">
        <v>34163</v>
      </c>
      <c r="B164" t="s">
        <v>668</v>
      </c>
      <c r="C164">
        <v>34163</v>
      </c>
      <c r="D164">
        <v>2759</v>
      </c>
      <c r="E164" t="s">
        <v>147</v>
      </c>
      <c r="F164">
        <v>20</v>
      </c>
      <c r="G164" t="s">
        <v>669</v>
      </c>
      <c r="H164" t="s">
        <v>121</v>
      </c>
      <c r="I164" t="s">
        <v>150</v>
      </c>
      <c r="J164" t="s">
        <v>175</v>
      </c>
      <c r="K164" t="s">
        <v>176</v>
      </c>
      <c r="L164" t="s">
        <v>177</v>
      </c>
      <c r="M164">
        <v>100031</v>
      </c>
      <c r="N164" t="s">
        <v>178</v>
      </c>
      <c r="O164" t="s">
        <v>179</v>
      </c>
      <c r="P164" t="s">
        <v>110</v>
      </c>
      <c r="Q164" t="s">
        <v>111</v>
      </c>
      <c r="R164" t="s">
        <v>180</v>
      </c>
    </row>
    <row r="165" spans="1:18" x14ac:dyDescent="0.25">
      <c r="A165">
        <v>34164</v>
      </c>
      <c r="B165" t="s">
        <v>672</v>
      </c>
      <c r="C165">
        <v>34164</v>
      </c>
      <c r="D165">
        <v>1311</v>
      </c>
      <c r="E165" t="s">
        <v>147</v>
      </c>
      <c r="F165">
        <v>20</v>
      </c>
      <c r="G165" t="s">
        <v>673</v>
      </c>
      <c r="H165" t="s">
        <v>149</v>
      </c>
      <c r="I165" t="s">
        <v>216</v>
      </c>
      <c r="J165" t="s">
        <v>217</v>
      </c>
      <c r="K165" t="s">
        <v>218</v>
      </c>
      <c r="L165" t="s">
        <v>219</v>
      </c>
      <c r="M165">
        <v>100253</v>
      </c>
      <c r="N165" t="s">
        <v>220</v>
      </c>
      <c r="O165" t="s">
        <v>109</v>
      </c>
      <c r="P165" t="s">
        <v>110</v>
      </c>
      <c r="Q165" t="s">
        <v>132</v>
      </c>
      <c r="R165" t="s">
        <v>221</v>
      </c>
    </row>
    <row r="166" spans="1:18" x14ac:dyDescent="0.25">
      <c r="A166">
        <v>34165</v>
      </c>
      <c r="B166" t="s">
        <v>674</v>
      </c>
      <c r="C166">
        <v>34165</v>
      </c>
      <c r="D166">
        <v>2139</v>
      </c>
      <c r="E166" t="s">
        <v>147</v>
      </c>
      <c r="F166">
        <v>20</v>
      </c>
      <c r="G166" t="s">
        <v>675</v>
      </c>
      <c r="H166" t="s">
        <v>121</v>
      </c>
      <c r="I166" t="s">
        <v>227</v>
      </c>
      <c r="J166" t="s">
        <v>122</v>
      </c>
      <c r="K166" t="s">
        <v>123</v>
      </c>
      <c r="L166" t="s">
        <v>124</v>
      </c>
      <c r="M166">
        <v>100259</v>
      </c>
      <c r="N166" t="s">
        <v>230</v>
      </c>
      <c r="O166" t="s">
        <v>109</v>
      </c>
      <c r="P166" t="s">
        <v>110</v>
      </c>
      <c r="Q166" t="s">
        <v>111</v>
      </c>
      <c r="R166" t="s">
        <v>221</v>
      </c>
    </row>
    <row r="167" spans="1:18" x14ac:dyDescent="0.25">
      <c r="A167">
        <v>34166</v>
      </c>
      <c r="B167" t="s">
        <v>677</v>
      </c>
      <c r="C167">
        <v>34166</v>
      </c>
      <c r="D167">
        <v>2716</v>
      </c>
      <c r="E167" t="s">
        <v>101</v>
      </c>
      <c r="F167">
        <v>20</v>
      </c>
      <c r="G167" t="s">
        <v>678</v>
      </c>
      <c r="H167" t="s">
        <v>103</v>
      </c>
      <c r="I167" t="s">
        <v>105</v>
      </c>
      <c r="J167" t="s">
        <v>105</v>
      </c>
      <c r="K167" t="s">
        <v>106</v>
      </c>
      <c r="L167" t="s">
        <v>107</v>
      </c>
      <c r="M167">
        <v>100002</v>
      </c>
      <c r="N167" t="s">
        <v>171</v>
      </c>
      <c r="O167" t="s">
        <v>109</v>
      </c>
      <c r="P167" t="s">
        <v>110</v>
      </c>
      <c r="Q167" t="s">
        <v>111</v>
      </c>
      <c r="R167" t="s">
        <v>156</v>
      </c>
    </row>
    <row r="168" spans="1:18" x14ac:dyDescent="0.25">
      <c r="A168">
        <v>34167</v>
      </c>
      <c r="B168" t="s">
        <v>680</v>
      </c>
      <c r="C168">
        <v>34167</v>
      </c>
      <c r="D168">
        <v>743</v>
      </c>
      <c r="E168" t="s">
        <v>247</v>
      </c>
      <c r="F168">
        <v>20</v>
      </c>
      <c r="G168" t="s">
        <v>681</v>
      </c>
      <c r="H168" t="s">
        <v>103</v>
      </c>
      <c r="I168" t="s">
        <v>104</v>
      </c>
      <c r="J168" t="s">
        <v>140</v>
      </c>
      <c r="K168" t="s">
        <v>141</v>
      </c>
      <c r="L168" t="s">
        <v>142</v>
      </c>
      <c r="M168">
        <v>100248</v>
      </c>
      <c r="N168" t="s">
        <v>198</v>
      </c>
      <c r="O168" t="s">
        <v>144</v>
      </c>
      <c r="P168" t="s">
        <v>110</v>
      </c>
      <c r="Q168" t="s">
        <v>132</v>
      </c>
      <c r="R168" t="s">
        <v>112</v>
      </c>
    </row>
    <row r="169" spans="1:18" x14ac:dyDescent="0.25">
      <c r="A169">
        <v>34168</v>
      </c>
      <c r="B169" t="s">
        <v>682</v>
      </c>
      <c r="C169">
        <v>34168</v>
      </c>
      <c r="D169">
        <v>1451</v>
      </c>
      <c r="E169" t="s">
        <v>119</v>
      </c>
      <c r="F169">
        <v>30</v>
      </c>
      <c r="G169" t="s">
        <v>683</v>
      </c>
      <c r="H169" t="s">
        <v>103</v>
      </c>
      <c r="I169" t="s">
        <v>104</v>
      </c>
      <c r="J169" t="s">
        <v>105</v>
      </c>
      <c r="K169" t="s">
        <v>206</v>
      </c>
      <c r="L169" t="s">
        <v>207</v>
      </c>
      <c r="M169">
        <v>100258</v>
      </c>
      <c r="N169" t="s">
        <v>108</v>
      </c>
      <c r="O169" t="s">
        <v>144</v>
      </c>
      <c r="P169" t="s">
        <v>110</v>
      </c>
      <c r="Q169" t="s">
        <v>132</v>
      </c>
      <c r="R169" t="s">
        <v>112</v>
      </c>
    </row>
    <row r="170" spans="1:18" x14ac:dyDescent="0.25">
      <c r="A170">
        <v>34169</v>
      </c>
      <c r="B170" t="s">
        <v>684</v>
      </c>
      <c r="C170">
        <v>34169</v>
      </c>
      <c r="D170">
        <v>753</v>
      </c>
      <c r="E170" t="s">
        <v>147</v>
      </c>
      <c r="F170">
        <v>20</v>
      </c>
      <c r="G170" t="s">
        <v>685</v>
      </c>
      <c r="H170" t="s">
        <v>149</v>
      </c>
      <c r="I170" t="s">
        <v>216</v>
      </c>
      <c r="J170" t="s">
        <v>217</v>
      </c>
      <c r="K170" t="s">
        <v>343</v>
      </c>
      <c r="L170" t="s">
        <v>344</v>
      </c>
      <c r="M170">
        <v>100253</v>
      </c>
      <c r="N170" t="s">
        <v>220</v>
      </c>
      <c r="O170" t="s">
        <v>109</v>
      </c>
      <c r="P170" t="s">
        <v>110</v>
      </c>
      <c r="Q170" t="s">
        <v>132</v>
      </c>
      <c r="R170" t="s">
        <v>221</v>
      </c>
    </row>
    <row r="171" spans="1:18" x14ac:dyDescent="0.25">
      <c r="A171">
        <v>34170</v>
      </c>
      <c r="B171" t="s">
        <v>689</v>
      </c>
      <c r="C171">
        <v>34170</v>
      </c>
      <c r="D171">
        <v>774</v>
      </c>
      <c r="E171" t="s">
        <v>119</v>
      </c>
      <c r="F171">
        <v>30</v>
      </c>
      <c r="G171" t="s">
        <v>690</v>
      </c>
      <c r="H171" t="s">
        <v>103</v>
      </c>
      <c r="I171" t="s">
        <v>104</v>
      </c>
      <c r="J171" t="s">
        <v>140</v>
      </c>
      <c r="K171" t="s">
        <v>141</v>
      </c>
      <c r="L171" t="s">
        <v>142</v>
      </c>
      <c r="M171">
        <v>100248</v>
      </c>
      <c r="N171" t="s">
        <v>198</v>
      </c>
      <c r="O171" t="s">
        <v>144</v>
      </c>
      <c r="P171" t="s">
        <v>110</v>
      </c>
      <c r="Q171" t="s">
        <v>132</v>
      </c>
      <c r="R171" t="s">
        <v>112</v>
      </c>
    </row>
    <row r="172" spans="1:18" x14ac:dyDescent="0.25">
      <c r="A172">
        <v>34171</v>
      </c>
      <c r="B172" t="s">
        <v>691</v>
      </c>
      <c r="C172">
        <v>34171</v>
      </c>
      <c r="D172">
        <v>1622</v>
      </c>
      <c r="E172" t="s">
        <v>147</v>
      </c>
      <c r="F172">
        <v>20</v>
      </c>
      <c r="G172" t="s">
        <v>692</v>
      </c>
      <c r="H172" t="s">
        <v>149</v>
      </c>
      <c r="I172" t="s">
        <v>150</v>
      </c>
      <c r="J172" t="s">
        <v>151</v>
      </c>
      <c r="K172" t="s">
        <v>152</v>
      </c>
      <c r="L172" t="s">
        <v>153</v>
      </c>
      <c r="M172">
        <v>100033</v>
      </c>
      <c r="N172" t="s">
        <v>154</v>
      </c>
      <c r="O172" t="s">
        <v>155</v>
      </c>
      <c r="P172" t="s">
        <v>110</v>
      </c>
      <c r="Q172" t="s">
        <v>111</v>
      </c>
      <c r="R172" t="s">
        <v>156</v>
      </c>
    </row>
    <row r="173" spans="1:18" x14ac:dyDescent="0.25">
      <c r="A173">
        <v>34172</v>
      </c>
      <c r="B173" t="s">
        <v>147</v>
      </c>
      <c r="C173">
        <v>34172</v>
      </c>
      <c r="D173">
        <v>5712</v>
      </c>
      <c r="E173" t="s">
        <v>147</v>
      </c>
      <c r="F173">
        <v>11</v>
      </c>
      <c r="G173" t="s">
        <v>693</v>
      </c>
      <c r="H173" t="s">
        <v>149</v>
      </c>
      <c r="I173" t="s">
        <v>216</v>
      </c>
      <c r="J173" t="s">
        <v>217</v>
      </c>
      <c r="K173" t="s">
        <v>694</v>
      </c>
      <c r="L173">
        <v>0</v>
      </c>
      <c r="M173">
        <v>100253</v>
      </c>
      <c r="N173" t="s">
        <v>220</v>
      </c>
      <c r="O173" t="s">
        <v>109</v>
      </c>
      <c r="P173" t="s">
        <v>156</v>
      </c>
      <c r="Q173" t="s">
        <v>132</v>
      </c>
      <c r="R173" t="s">
        <v>221</v>
      </c>
    </row>
    <row r="174" spans="1:18" x14ac:dyDescent="0.25">
      <c r="A174">
        <v>34173</v>
      </c>
      <c r="B174" t="s">
        <v>702</v>
      </c>
      <c r="C174">
        <v>34173</v>
      </c>
      <c r="D174">
        <v>2255</v>
      </c>
      <c r="E174" t="s">
        <v>147</v>
      </c>
      <c r="F174">
        <v>20</v>
      </c>
      <c r="G174" t="s">
        <v>703</v>
      </c>
      <c r="H174" t="s">
        <v>121</v>
      </c>
      <c r="I174" t="s">
        <v>150</v>
      </c>
      <c r="J174" t="s">
        <v>175</v>
      </c>
      <c r="K174" t="s">
        <v>176</v>
      </c>
      <c r="L174" t="s">
        <v>177</v>
      </c>
      <c r="M174">
        <v>100031</v>
      </c>
      <c r="N174" t="s">
        <v>178</v>
      </c>
      <c r="O174" t="s">
        <v>179</v>
      </c>
      <c r="P174" t="s">
        <v>110</v>
      </c>
      <c r="Q174" t="s">
        <v>132</v>
      </c>
      <c r="R174" t="s">
        <v>180</v>
      </c>
    </row>
    <row r="175" spans="1:18" x14ac:dyDescent="0.25">
      <c r="A175">
        <v>34174</v>
      </c>
      <c r="B175" t="s">
        <v>704</v>
      </c>
      <c r="C175">
        <v>34174</v>
      </c>
      <c r="D175">
        <v>2284</v>
      </c>
      <c r="E175" t="s">
        <v>119</v>
      </c>
      <c r="F175">
        <v>30</v>
      </c>
      <c r="G175" t="s">
        <v>705</v>
      </c>
      <c r="H175" t="s">
        <v>149</v>
      </c>
      <c r="I175" t="s">
        <v>150</v>
      </c>
      <c r="J175" t="s">
        <v>151</v>
      </c>
      <c r="K175" t="s">
        <v>152</v>
      </c>
      <c r="L175" t="s">
        <v>153</v>
      </c>
      <c r="M175">
        <v>100033</v>
      </c>
      <c r="N175" t="s">
        <v>154</v>
      </c>
      <c r="O175" t="s">
        <v>155</v>
      </c>
      <c r="P175" t="s">
        <v>110</v>
      </c>
      <c r="Q175" t="s">
        <v>132</v>
      </c>
      <c r="R175" t="s">
        <v>156</v>
      </c>
    </row>
    <row r="176" spans="1:18" x14ac:dyDescent="0.25">
      <c r="A176">
        <v>34175</v>
      </c>
      <c r="B176" t="s">
        <v>706</v>
      </c>
      <c r="C176">
        <v>34175</v>
      </c>
      <c r="D176">
        <v>1356</v>
      </c>
      <c r="E176" t="s">
        <v>119</v>
      </c>
      <c r="F176">
        <v>30</v>
      </c>
      <c r="G176" t="s">
        <v>707</v>
      </c>
      <c r="H176" t="s">
        <v>121</v>
      </c>
      <c r="I176" t="s">
        <v>150</v>
      </c>
      <c r="J176" t="s">
        <v>175</v>
      </c>
      <c r="K176" t="s">
        <v>165</v>
      </c>
      <c r="L176" t="s">
        <v>166</v>
      </c>
      <c r="M176">
        <v>100004</v>
      </c>
      <c r="N176" t="s">
        <v>189</v>
      </c>
      <c r="O176" t="s">
        <v>179</v>
      </c>
      <c r="P176" t="s">
        <v>110</v>
      </c>
      <c r="Q176" t="s">
        <v>111</v>
      </c>
      <c r="R176" t="s">
        <v>156</v>
      </c>
    </row>
    <row r="177" spans="1:18" x14ac:dyDescent="0.25">
      <c r="A177">
        <v>34176</v>
      </c>
      <c r="B177" t="s">
        <v>708</v>
      </c>
      <c r="C177">
        <v>34176</v>
      </c>
      <c r="D177">
        <v>810</v>
      </c>
      <c r="E177" t="s">
        <v>147</v>
      </c>
      <c r="F177">
        <v>20</v>
      </c>
      <c r="G177" t="s">
        <v>709</v>
      </c>
      <c r="H177" t="s">
        <v>149</v>
      </c>
      <c r="I177" t="s">
        <v>274</v>
      </c>
      <c r="J177" t="s">
        <v>274</v>
      </c>
      <c r="K177" t="s">
        <v>320</v>
      </c>
      <c r="L177" t="s">
        <v>321</v>
      </c>
      <c r="M177">
        <v>100016</v>
      </c>
      <c r="N177" t="s">
        <v>322</v>
      </c>
      <c r="O177" t="s">
        <v>109</v>
      </c>
      <c r="P177" t="s">
        <v>110</v>
      </c>
      <c r="Q177" t="s">
        <v>111</v>
      </c>
      <c r="R177" t="s">
        <v>180</v>
      </c>
    </row>
    <row r="178" spans="1:18" x14ac:dyDescent="0.25">
      <c r="A178">
        <v>34177</v>
      </c>
      <c r="B178" t="s">
        <v>712</v>
      </c>
      <c r="C178">
        <v>34177</v>
      </c>
      <c r="D178">
        <v>2394</v>
      </c>
      <c r="E178" t="s">
        <v>147</v>
      </c>
      <c r="F178">
        <v>20</v>
      </c>
      <c r="G178" t="s">
        <v>713</v>
      </c>
      <c r="H178" t="s">
        <v>149</v>
      </c>
      <c r="I178" t="s">
        <v>150</v>
      </c>
      <c r="J178" t="s">
        <v>151</v>
      </c>
      <c r="K178" t="s">
        <v>192</v>
      </c>
      <c r="L178" t="s">
        <v>193</v>
      </c>
      <c r="M178">
        <v>100235</v>
      </c>
      <c r="N178" t="s">
        <v>194</v>
      </c>
      <c r="O178" t="s">
        <v>109</v>
      </c>
      <c r="P178" t="s">
        <v>110</v>
      </c>
      <c r="Q178" t="s">
        <v>132</v>
      </c>
      <c r="R178" t="s">
        <v>180</v>
      </c>
    </row>
    <row r="179" spans="1:18" x14ac:dyDescent="0.25">
      <c r="A179">
        <v>34178</v>
      </c>
      <c r="B179" t="s">
        <v>714</v>
      </c>
      <c r="C179">
        <v>34178</v>
      </c>
      <c r="D179">
        <v>3252</v>
      </c>
      <c r="E179" t="s">
        <v>101</v>
      </c>
      <c r="F179">
        <v>20</v>
      </c>
      <c r="G179" t="s">
        <v>715</v>
      </c>
      <c r="H179" t="s">
        <v>103</v>
      </c>
      <c r="I179" t="s">
        <v>104</v>
      </c>
      <c r="J179" t="s">
        <v>105</v>
      </c>
      <c r="K179" t="s">
        <v>206</v>
      </c>
      <c r="L179" t="s">
        <v>207</v>
      </c>
      <c r="M179">
        <v>100258</v>
      </c>
      <c r="N179" t="s">
        <v>108</v>
      </c>
      <c r="O179" t="s">
        <v>144</v>
      </c>
      <c r="P179" t="s">
        <v>110</v>
      </c>
      <c r="Q179" t="s">
        <v>111</v>
      </c>
      <c r="R179" t="s">
        <v>112</v>
      </c>
    </row>
    <row r="180" spans="1:18" x14ac:dyDescent="0.25">
      <c r="A180">
        <v>34179</v>
      </c>
      <c r="B180" t="s">
        <v>718</v>
      </c>
      <c r="C180">
        <v>34179</v>
      </c>
      <c r="D180">
        <v>1016</v>
      </c>
      <c r="E180" t="s">
        <v>147</v>
      </c>
      <c r="F180">
        <v>20</v>
      </c>
      <c r="G180" t="s">
        <v>719</v>
      </c>
      <c r="H180" t="s">
        <v>149</v>
      </c>
      <c r="I180" t="s">
        <v>216</v>
      </c>
      <c r="J180" t="s">
        <v>217</v>
      </c>
      <c r="K180" t="s">
        <v>431</v>
      </c>
      <c r="L180" t="s">
        <v>432</v>
      </c>
      <c r="M180">
        <v>100253</v>
      </c>
      <c r="N180" t="s">
        <v>220</v>
      </c>
      <c r="O180" t="s">
        <v>109</v>
      </c>
      <c r="P180" t="s">
        <v>110</v>
      </c>
      <c r="Q180" t="s">
        <v>111</v>
      </c>
      <c r="R180" t="s">
        <v>221</v>
      </c>
    </row>
    <row r="181" spans="1:18" x14ac:dyDescent="0.25">
      <c r="A181">
        <v>34180</v>
      </c>
      <c r="B181" t="s">
        <v>721</v>
      </c>
      <c r="C181">
        <v>34180</v>
      </c>
      <c r="D181">
        <v>993</v>
      </c>
      <c r="E181" t="s">
        <v>147</v>
      </c>
      <c r="F181">
        <v>20</v>
      </c>
      <c r="G181" t="s">
        <v>722</v>
      </c>
      <c r="H181" t="s">
        <v>121</v>
      </c>
      <c r="I181" t="s">
        <v>150</v>
      </c>
      <c r="J181" t="s">
        <v>175</v>
      </c>
      <c r="K181" t="s">
        <v>165</v>
      </c>
      <c r="L181" t="s">
        <v>166</v>
      </c>
      <c r="M181">
        <v>100004</v>
      </c>
      <c r="N181" t="s">
        <v>189</v>
      </c>
      <c r="O181" t="s">
        <v>179</v>
      </c>
      <c r="P181" t="s">
        <v>110</v>
      </c>
      <c r="Q181" t="s">
        <v>132</v>
      </c>
      <c r="R181" t="s">
        <v>156</v>
      </c>
    </row>
    <row r="182" spans="1:18" x14ac:dyDescent="0.25">
      <c r="A182">
        <v>34181</v>
      </c>
      <c r="B182" t="s">
        <v>724</v>
      </c>
      <c r="C182">
        <v>34181</v>
      </c>
      <c r="D182">
        <v>1098</v>
      </c>
      <c r="E182" t="s">
        <v>119</v>
      </c>
      <c r="F182">
        <v>30</v>
      </c>
      <c r="G182" t="s">
        <v>725</v>
      </c>
      <c r="H182" t="s">
        <v>103</v>
      </c>
      <c r="I182" t="s">
        <v>104</v>
      </c>
      <c r="J182" t="s">
        <v>105</v>
      </c>
      <c r="K182" t="s">
        <v>206</v>
      </c>
      <c r="L182" t="s">
        <v>207</v>
      </c>
      <c r="M182">
        <v>100258</v>
      </c>
      <c r="N182" t="s">
        <v>108</v>
      </c>
      <c r="O182" t="s">
        <v>144</v>
      </c>
      <c r="P182" t="s">
        <v>110</v>
      </c>
      <c r="Q182" t="s">
        <v>111</v>
      </c>
      <c r="R182" t="s">
        <v>112</v>
      </c>
    </row>
    <row r="183" spans="1:18" x14ac:dyDescent="0.25">
      <c r="A183">
        <v>34182</v>
      </c>
      <c r="B183" t="s">
        <v>726</v>
      </c>
      <c r="C183">
        <v>34182</v>
      </c>
      <c r="D183">
        <v>434</v>
      </c>
      <c r="E183" t="s">
        <v>202</v>
      </c>
      <c r="F183">
        <v>20</v>
      </c>
      <c r="G183" t="s">
        <v>727</v>
      </c>
      <c r="H183" t="s">
        <v>121</v>
      </c>
      <c r="I183" t="s">
        <v>105</v>
      </c>
      <c r="J183" t="s">
        <v>122</v>
      </c>
      <c r="K183" t="s">
        <v>106</v>
      </c>
      <c r="L183" t="s">
        <v>107</v>
      </c>
      <c r="M183">
        <v>100181</v>
      </c>
      <c r="N183" t="s">
        <v>125</v>
      </c>
      <c r="O183" t="s">
        <v>109</v>
      </c>
      <c r="P183" t="s">
        <v>110</v>
      </c>
      <c r="Q183" t="s">
        <v>132</v>
      </c>
      <c r="R183" t="s">
        <v>180</v>
      </c>
    </row>
    <row r="184" spans="1:18" x14ac:dyDescent="0.25">
      <c r="A184">
        <v>34183</v>
      </c>
      <c r="B184" t="s">
        <v>730</v>
      </c>
      <c r="C184">
        <v>34183</v>
      </c>
      <c r="D184">
        <v>3027</v>
      </c>
      <c r="E184" t="s">
        <v>101</v>
      </c>
      <c r="F184">
        <v>20</v>
      </c>
      <c r="G184" t="s">
        <v>731</v>
      </c>
      <c r="H184" t="s">
        <v>103</v>
      </c>
      <c r="I184" t="s">
        <v>104</v>
      </c>
      <c r="J184" t="s">
        <v>105</v>
      </c>
      <c r="K184" t="s">
        <v>576</v>
      </c>
      <c r="L184" t="s">
        <v>577</v>
      </c>
      <c r="M184">
        <v>100015</v>
      </c>
      <c r="N184" t="s">
        <v>377</v>
      </c>
      <c r="O184" t="s">
        <v>109</v>
      </c>
      <c r="P184" t="s">
        <v>110</v>
      </c>
      <c r="Q184" t="s">
        <v>111</v>
      </c>
      <c r="R184" t="s">
        <v>156</v>
      </c>
    </row>
    <row r="185" spans="1:18" x14ac:dyDescent="0.25">
      <c r="A185">
        <v>34184</v>
      </c>
      <c r="B185" t="s">
        <v>733</v>
      </c>
      <c r="C185">
        <v>34184</v>
      </c>
      <c r="D185">
        <v>869</v>
      </c>
      <c r="E185" t="s">
        <v>202</v>
      </c>
      <c r="F185">
        <v>20</v>
      </c>
      <c r="G185" t="s">
        <v>734</v>
      </c>
      <c r="H185" t="s">
        <v>121</v>
      </c>
      <c r="I185" t="s">
        <v>105</v>
      </c>
      <c r="J185" t="s">
        <v>122</v>
      </c>
      <c r="K185" t="s">
        <v>123</v>
      </c>
      <c r="L185" t="s">
        <v>124</v>
      </c>
      <c r="M185">
        <v>100181</v>
      </c>
      <c r="N185" t="s">
        <v>125</v>
      </c>
      <c r="O185" t="s">
        <v>109</v>
      </c>
      <c r="P185" t="s">
        <v>110</v>
      </c>
      <c r="Q185" t="s">
        <v>111</v>
      </c>
      <c r="R185" t="s">
        <v>180</v>
      </c>
    </row>
    <row r="186" spans="1:18" x14ac:dyDescent="0.25">
      <c r="A186">
        <v>34185</v>
      </c>
      <c r="B186" t="s">
        <v>736</v>
      </c>
      <c r="C186">
        <v>34185</v>
      </c>
      <c r="D186">
        <v>2839</v>
      </c>
      <c r="E186" t="s">
        <v>147</v>
      </c>
      <c r="F186">
        <v>20</v>
      </c>
      <c r="G186" t="s">
        <v>737</v>
      </c>
      <c r="H186" t="s">
        <v>149</v>
      </c>
      <c r="I186" t="s">
        <v>150</v>
      </c>
      <c r="J186" t="s">
        <v>151</v>
      </c>
      <c r="K186" t="s">
        <v>152</v>
      </c>
      <c r="L186" t="s">
        <v>153</v>
      </c>
      <c r="M186">
        <v>100235</v>
      </c>
      <c r="N186" t="s">
        <v>194</v>
      </c>
      <c r="O186" t="s">
        <v>109</v>
      </c>
      <c r="P186" t="s">
        <v>110</v>
      </c>
      <c r="Q186" t="s">
        <v>111</v>
      </c>
      <c r="R186" t="s">
        <v>180</v>
      </c>
    </row>
    <row r="187" spans="1:18" x14ac:dyDescent="0.25">
      <c r="A187">
        <v>34186</v>
      </c>
      <c r="B187" t="s">
        <v>738</v>
      </c>
      <c r="C187">
        <v>34186</v>
      </c>
      <c r="D187">
        <v>2179</v>
      </c>
      <c r="E187" t="s">
        <v>119</v>
      </c>
      <c r="F187">
        <v>30</v>
      </c>
      <c r="G187" t="s">
        <v>317</v>
      </c>
      <c r="H187" t="s">
        <v>121</v>
      </c>
      <c r="I187" t="s">
        <v>150</v>
      </c>
      <c r="J187" t="s">
        <v>175</v>
      </c>
      <c r="K187" t="s">
        <v>165</v>
      </c>
      <c r="L187" t="s">
        <v>166</v>
      </c>
      <c r="M187">
        <v>100004</v>
      </c>
      <c r="N187" t="s">
        <v>189</v>
      </c>
      <c r="O187" t="s">
        <v>179</v>
      </c>
      <c r="P187" t="s">
        <v>110</v>
      </c>
      <c r="Q187" t="s">
        <v>111</v>
      </c>
      <c r="R187" t="s">
        <v>156</v>
      </c>
    </row>
    <row r="188" spans="1:18" x14ac:dyDescent="0.25">
      <c r="A188">
        <v>34187</v>
      </c>
      <c r="B188" t="s">
        <v>739</v>
      </c>
      <c r="C188">
        <v>34187</v>
      </c>
      <c r="D188">
        <v>1849</v>
      </c>
      <c r="E188" t="s">
        <v>119</v>
      </c>
      <c r="F188">
        <v>30</v>
      </c>
      <c r="G188" t="s">
        <v>740</v>
      </c>
      <c r="H188" t="s">
        <v>103</v>
      </c>
      <c r="I188" t="s">
        <v>104</v>
      </c>
      <c r="J188" t="s">
        <v>259</v>
      </c>
      <c r="K188" t="s">
        <v>141</v>
      </c>
      <c r="L188" t="s">
        <v>142</v>
      </c>
      <c r="M188">
        <v>100257</v>
      </c>
      <c r="N188" t="s">
        <v>143</v>
      </c>
      <c r="O188" t="s">
        <v>144</v>
      </c>
      <c r="P188" t="s">
        <v>110</v>
      </c>
      <c r="Q188" t="s">
        <v>111</v>
      </c>
      <c r="R188" t="s">
        <v>112</v>
      </c>
    </row>
    <row r="189" spans="1:18" x14ac:dyDescent="0.25">
      <c r="A189">
        <v>34188</v>
      </c>
      <c r="B189" t="s">
        <v>741</v>
      </c>
      <c r="C189">
        <v>34188</v>
      </c>
      <c r="D189">
        <v>967</v>
      </c>
      <c r="E189" t="s">
        <v>449</v>
      </c>
      <c r="F189">
        <v>20</v>
      </c>
      <c r="G189" t="s">
        <v>742</v>
      </c>
      <c r="H189" t="s">
        <v>121</v>
      </c>
      <c r="I189" t="s">
        <v>150</v>
      </c>
      <c r="J189" t="s">
        <v>175</v>
      </c>
      <c r="K189" t="s">
        <v>152</v>
      </c>
      <c r="L189" t="s">
        <v>153</v>
      </c>
      <c r="M189">
        <v>100219</v>
      </c>
      <c r="N189" t="s">
        <v>284</v>
      </c>
      <c r="O189" t="s">
        <v>179</v>
      </c>
      <c r="P189" t="s">
        <v>110</v>
      </c>
      <c r="Q189" t="s">
        <v>132</v>
      </c>
      <c r="R189" t="s">
        <v>156</v>
      </c>
    </row>
    <row r="190" spans="1:18" x14ac:dyDescent="0.25">
      <c r="A190">
        <v>34189</v>
      </c>
      <c r="B190" t="s">
        <v>743</v>
      </c>
      <c r="C190">
        <v>34189</v>
      </c>
      <c r="D190">
        <v>1933</v>
      </c>
      <c r="E190" t="s">
        <v>247</v>
      </c>
      <c r="F190">
        <v>20</v>
      </c>
      <c r="G190" t="s">
        <v>744</v>
      </c>
      <c r="H190" t="s">
        <v>103</v>
      </c>
      <c r="I190" t="s">
        <v>104</v>
      </c>
      <c r="J190" t="s">
        <v>140</v>
      </c>
      <c r="K190" t="s">
        <v>141</v>
      </c>
      <c r="L190" t="s">
        <v>142</v>
      </c>
      <c r="M190">
        <v>100257</v>
      </c>
      <c r="N190" t="s">
        <v>143</v>
      </c>
      <c r="O190" t="s">
        <v>144</v>
      </c>
      <c r="P190" t="s">
        <v>110</v>
      </c>
      <c r="Q190" t="s">
        <v>111</v>
      </c>
      <c r="R190" t="s">
        <v>112</v>
      </c>
    </row>
    <row r="191" spans="1:18" x14ac:dyDescent="0.25">
      <c r="A191">
        <v>34190</v>
      </c>
      <c r="B191" t="s">
        <v>745</v>
      </c>
      <c r="C191">
        <v>34190</v>
      </c>
      <c r="D191">
        <v>904</v>
      </c>
      <c r="E191" t="s">
        <v>247</v>
      </c>
      <c r="F191">
        <v>20</v>
      </c>
      <c r="G191" t="s">
        <v>746</v>
      </c>
      <c r="H191" t="s">
        <v>103</v>
      </c>
      <c r="I191" t="s">
        <v>104</v>
      </c>
      <c r="J191" t="s">
        <v>140</v>
      </c>
      <c r="K191" t="s">
        <v>141</v>
      </c>
      <c r="L191" t="s">
        <v>142</v>
      </c>
      <c r="M191">
        <v>100257</v>
      </c>
      <c r="N191" t="s">
        <v>143</v>
      </c>
      <c r="O191" t="s">
        <v>144</v>
      </c>
      <c r="P191" t="s">
        <v>110</v>
      </c>
      <c r="Q191" t="s">
        <v>111</v>
      </c>
      <c r="R191" t="s">
        <v>112</v>
      </c>
    </row>
    <row r="192" spans="1:18" x14ac:dyDescent="0.25">
      <c r="A192">
        <v>34191</v>
      </c>
      <c r="B192" t="s">
        <v>747</v>
      </c>
      <c r="C192">
        <v>34191</v>
      </c>
      <c r="D192">
        <v>592</v>
      </c>
      <c r="E192" t="s">
        <v>101</v>
      </c>
      <c r="F192">
        <v>20</v>
      </c>
      <c r="G192" t="s">
        <v>748</v>
      </c>
      <c r="H192" t="s">
        <v>103</v>
      </c>
      <c r="I192" t="s">
        <v>104</v>
      </c>
      <c r="J192" t="s">
        <v>105</v>
      </c>
      <c r="K192" t="s">
        <v>206</v>
      </c>
      <c r="L192" t="s">
        <v>207</v>
      </c>
      <c r="M192">
        <v>100258</v>
      </c>
      <c r="N192" t="s">
        <v>108</v>
      </c>
      <c r="O192" t="s">
        <v>144</v>
      </c>
      <c r="P192" t="s">
        <v>110</v>
      </c>
      <c r="Q192" t="s">
        <v>111</v>
      </c>
      <c r="R192" t="s">
        <v>112</v>
      </c>
    </row>
    <row r="193" spans="1:18" x14ac:dyDescent="0.25">
      <c r="A193">
        <v>34192</v>
      </c>
      <c r="B193" t="s">
        <v>749</v>
      </c>
      <c r="C193">
        <v>34192</v>
      </c>
      <c r="D193">
        <v>920</v>
      </c>
      <c r="E193" t="s">
        <v>147</v>
      </c>
      <c r="F193">
        <v>20</v>
      </c>
      <c r="G193" t="s">
        <v>750</v>
      </c>
      <c r="H193" t="s">
        <v>149</v>
      </c>
      <c r="I193" t="s">
        <v>274</v>
      </c>
      <c r="J193" t="s">
        <v>274</v>
      </c>
      <c r="K193" t="s">
        <v>320</v>
      </c>
      <c r="L193" t="s">
        <v>321</v>
      </c>
      <c r="M193">
        <v>100016</v>
      </c>
      <c r="N193" t="s">
        <v>322</v>
      </c>
      <c r="O193" t="s">
        <v>109</v>
      </c>
      <c r="P193" t="s">
        <v>110</v>
      </c>
      <c r="Q193" t="s">
        <v>111</v>
      </c>
      <c r="R193" t="s">
        <v>180</v>
      </c>
    </row>
    <row r="194" spans="1:18" x14ac:dyDescent="0.25">
      <c r="A194">
        <v>34193</v>
      </c>
      <c r="B194" t="s">
        <v>753</v>
      </c>
      <c r="C194">
        <v>34193</v>
      </c>
      <c r="D194">
        <v>4123</v>
      </c>
      <c r="E194" t="s">
        <v>119</v>
      </c>
      <c r="F194">
        <v>30</v>
      </c>
      <c r="G194" t="s">
        <v>754</v>
      </c>
      <c r="H194" t="s">
        <v>103</v>
      </c>
      <c r="I194" t="s">
        <v>104</v>
      </c>
      <c r="J194" t="s">
        <v>259</v>
      </c>
      <c r="K194" t="s">
        <v>141</v>
      </c>
      <c r="L194" t="s">
        <v>142</v>
      </c>
      <c r="M194">
        <v>100257</v>
      </c>
      <c r="N194" t="s">
        <v>143</v>
      </c>
      <c r="O194" t="s">
        <v>144</v>
      </c>
      <c r="P194" t="s">
        <v>110</v>
      </c>
      <c r="Q194" t="s">
        <v>132</v>
      </c>
      <c r="R194" t="s">
        <v>112</v>
      </c>
    </row>
    <row r="195" spans="1:18" x14ac:dyDescent="0.25">
      <c r="A195">
        <v>34194</v>
      </c>
      <c r="B195" t="s">
        <v>755</v>
      </c>
      <c r="C195">
        <v>34194</v>
      </c>
      <c r="D195">
        <v>1140</v>
      </c>
      <c r="E195" t="s">
        <v>119</v>
      </c>
      <c r="F195">
        <v>30</v>
      </c>
      <c r="G195" t="s">
        <v>756</v>
      </c>
      <c r="H195" t="s">
        <v>121</v>
      </c>
      <c r="I195" t="s">
        <v>150</v>
      </c>
      <c r="J195" t="s">
        <v>175</v>
      </c>
      <c r="K195" t="s">
        <v>165</v>
      </c>
      <c r="L195" t="s">
        <v>166</v>
      </c>
      <c r="M195">
        <v>100004</v>
      </c>
      <c r="N195" t="s">
        <v>189</v>
      </c>
      <c r="O195" t="s">
        <v>179</v>
      </c>
      <c r="P195" t="s">
        <v>110</v>
      </c>
      <c r="Q195" t="s">
        <v>111</v>
      </c>
      <c r="R195" t="s">
        <v>156</v>
      </c>
    </row>
    <row r="196" spans="1:18" x14ac:dyDescent="0.25">
      <c r="A196">
        <v>34195</v>
      </c>
      <c r="B196" t="s">
        <v>757</v>
      </c>
      <c r="C196">
        <v>34195</v>
      </c>
      <c r="D196">
        <v>1324</v>
      </c>
      <c r="E196" t="s">
        <v>147</v>
      </c>
      <c r="F196">
        <v>20</v>
      </c>
      <c r="G196" t="s">
        <v>758</v>
      </c>
      <c r="H196" t="s">
        <v>149</v>
      </c>
      <c r="I196" t="s">
        <v>150</v>
      </c>
      <c r="J196" t="s">
        <v>151</v>
      </c>
      <c r="K196" t="s">
        <v>152</v>
      </c>
      <c r="L196" t="s">
        <v>153</v>
      </c>
      <c r="M196">
        <v>100235</v>
      </c>
      <c r="N196" t="s">
        <v>194</v>
      </c>
      <c r="O196" t="s">
        <v>109</v>
      </c>
      <c r="P196" t="s">
        <v>110</v>
      </c>
      <c r="Q196" t="s">
        <v>132</v>
      </c>
      <c r="R196" t="s">
        <v>180</v>
      </c>
    </row>
    <row r="197" spans="1:18" x14ac:dyDescent="0.25">
      <c r="A197">
        <v>34196</v>
      </c>
      <c r="B197" t="s">
        <v>759</v>
      </c>
      <c r="C197">
        <v>34196</v>
      </c>
      <c r="D197">
        <v>3200</v>
      </c>
      <c r="E197" t="s">
        <v>449</v>
      </c>
      <c r="F197">
        <v>20</v>
      </c>
      <c r="G197" t="s">
        <v>760</v>
      </c>
      <c r="H197" t="s">
        <v>121</v>
      </c>
      <c r="I197" t="s">
        <v>150</v>
      </c>
      <c r="J197" t="s">
        <v>175</v>
      </c>
      <c r="K197" t="s">
        <v>152</v>
      </c>
      <c r="L197" t="s">
        <v>153</v>
      </c>
      <c r="M197">
        <v>100219</v>
      </c>
      <c r="N197" t="s">
        <v>284</v>
      </c>
      <c r="O197" t="s">
        <v>179</v>
      </c>
      <c r="P197" t="s">
        <v>110</v>
      </c>
      <c r="Q197" t="s">
        <v>111</v>
      </c>
      <c r="R197" t="s">
        <v>156</v>
      </c>
    </row>
    <row r="198" spans="1:18" x14ac:dyDescent="0.25">
      <c r="A198">
        <v>34197</v>
      </c>
      <c r="B198" t="s">
        <v>761</v>
      </c>
      <c r="C198">
        <v>34197</v>
      </c>
      <c r="D198">
        <v>1105</v>
      </c>
      <c r="E198" t="s">
        <v>119</v>
      </c>
      <c r="F198">
        <v>30</v>
      </c>
      <c r="G198" t="s">
        <v>762</v>
      </c>
      <c r="H198" t="s">
        <v>121</v>
      </c>
      <c r="I198" t="s">
        <v>150</v>
      </c>
      <c r="J198" t="s">
        <v>175</v>
      </c>
      <c r="K198" t="s">
        <v>123</v>
      </c>
      <c r="L198" t="s">
        <v>124</v>
      </c>
      <c r="M198">
        <v>100004</v>
      </c>
      <c r="N198" t="s">
        <v>189</v>
      </c>
      <c r="O198" t="s">
        <v>179</v>
      </c>
      <c r="P198" t="s">
        <v>110</v>
      </c>
      <c r="Q198" t="s">
        <v>132</v>
      </c>
      <c r="R198" t="s">
        <v>156</v>
      </c>
    </row>
    <row r="199" spans="1:18" x14ac:dyDescent="0.25">
      <c r="A199">
        <v>34198</v>
      </c>
      <c r="B199" t="s">
        <v>764</v>
      </c>
      <c r="C199">
        <v>34198</v>
      </c>
      <c r="D199">
        <v>867</v>
      </c>
      <c r="E199" t="s">
        <v>147</v>
      </c>
      <c r="F199">
        <v>20</v>
      </c>
      <c r="G199" t="s">
        <v>765</v>
      </c>
      <c r="H199" t="s">
        <v>149</v>
      </c>
      <c r="I199" t="s">
        <v>216</v>
      </c>
      <c r="J199" t="s">
        <v>217</v>
      </c>
      <c r="K199" t="s">
        <v>539</v>
      </c>
      <c r="L199" t="s">
        <v>540</v>
      </c>
      <c r="M199">
        <v>100253</v>
      </c>
      <c r="N199" t="s">
        <v>220</v>
      </c>
      <c r="O199" t="s">
        <v>109</v>
      </c>
      <c r="P199" t="s">
        <v>110</v>
      </c>
      <c r="Q199" t="s">
        <v>111</v>
      </c>
      <c r="R199" t="s">
        <v>221</v>
      </c>
    </row>
    <row r="200" spans="1:18" x14ac:dyDescent="0.25">
      <c r="A200">
        <v>34199</v>
      </c>
      <c r="B200" t="s">
        <v>202</v>
      </c>
      <c r="C200">
        <v>34199</v>
      </c>
      <c r="D200">
        <v>2986</v>
      </c>
      <c r="E200" t="s">
        <v>202</v>
      </c>
      <c r="F200">
        <v>11</v>
      </c>
      <c r="G200" t="s">
        <v>769</v>
      </c>
      <c r="H200" t="s">
        <v>121</v>
      </c>
      <c r="I200" t="s">
        <v>105</v>
      </c>
      <c r="J200" t="s">
        <v>122</v>
      </c>
      <c r="K200" t="s">
        <v>106</v>
      </c>
      <c r="L200" t="s">
        <v>107</v>
      </c>
      <c r="M200">
        <v>100181</v>
      </c>
      <c r="N200" t="s">
        <v>125</v>
      </c>
      <c r="O200" t="s">
        <v>109</v>
      </c>
      <c r="P200" t="s">
        <v>110</v>
      </c>
      <c r="Q200" t="s">
        <v>111</v>
      </c>
      <c r="R200" t="s">
        <v>180</v>
      </c>
    </row>
    <row r="201" spans="1:18" x14ac:dyDescent="0.25">
      <c r="A201">
        <v>34200</v>
      </c>
      <c r="B201" t="s">
        <v>773</v>
      </c>
      <c r="C201">
        <v>34200</v>
      </c>
      <c r="D201">
        <v>2695</v>
      </c>
      <c r="E201" t="s">
        <v>162</v>
      </c>
      <c r="F201">
        <v>20</v>
      </c>
      <c r="G201" t="s">
        <v>774</v>
      </c>
      <c r="H201" t="s">
        <v>103</v>
      </c>
      <c r="I201" t="s">
        <v>104</v>
      </c>
      <c r="J201" t="s">
        <v>164</v>
      </c>
      <c r="K201" t="s">
        <v>165</v>
      </c>
      <c r="L201" t="s">
        <v>166</v>
      </c>
      <c r="M201">
        <v>100249</v>
      </c>
      <c r="N201" t="s">
        <v>167</v>
      </c>
      <c r="O201" t="s">
        <v>144</v>
      </c>
      <c r="P201" t="s">
        <v>110</v>
      </c>
      <c r="Q201" t="s">
        <v>111</v>
      </c>
      <c r="R201" t="s">
        <v>112</v>
      </c>
    </row>
    <row r="202" spans="1:18" x14ac:dyDescent="0.25">
      <c r="A202">
        <v>34201</v>
      </c>
      <c r="B202" t="s">
        <v>775</v>
      </c>
      <c r="C202">
        <v>34201</v>
      </c>
      <c r="D202">
        <v>1167</v>
      </c>
      <c r="E202" t="s">
        <v>119</v>
      </c>
      <c r="F202">
        <v>30</v>
      </c>
      <c r="G202" t="s">
        <v>776</v>
      </c>
      <c r="H202" t="s">
        <v>103</v>
      </c>
      <c r="I202" t="s">
        <v>104</v>
      </c>
      <c r="J202" t="s">
        <v>140</v>
      </c>
      <c r="K202" t="s">
        <v>141</v>
      </c>
      <c r="L202" t="s">
        <v>142</v>
      </c>
      <c r="M202">
        <v>100248</v>
      </c>
      <c r="N202" t="s">
        <v>198</v>
      </c>
      <c r="O202" t="s">
        <v>144</v>
      </c>
      <c r="P202" t="s">
        <v>110</v>
      </c>
      <c r="Q202" t="s">
        <v>132</v>
      </c>
      <c r="R202" t="s">
        <v>112</v>
      </c>
    </row>
    <row r="203" spans="1:18" x14ac:dyDescent="0.25">
      <c r="A203">
        <v>34202</v>
      </c>
      <c r="B203" t="s">
        <v>777</v>
      </c>
      <c r="C203">
        <v>34202</v>
      </c>
      <c r="D203">
        <v>2055</v>
      </c>
      <c r="E203" t="s">
        <v>147</v>
      </c>
      <c r="F203">
        <v>20</v>
      </c>
      <c r="G203" t="s">
        <v>778</v>
      </c>
      <c r="H203" t="s">
        <v>149</v>
      </c>
      <c r="I203" t="s">
        <v>216</v>
      </c>
      <c r="J203" t="s">
        <v>217</v>
      </c>
      <c r="K203" t="s">
        <v>431</v>
      </c>
      <c r="L203" t="s">
        <v>432</v>
      </c>
      <c r="M203">
        <v>100253</v>
      </c>
      <c r="N203" t="s">
        <v>220</v>
      </c>
      <c r="O203" t="s">
        <v>109</v>
      </c>
      <c r="P203" t="s">
        <v>110</v>
      </c>
      <c r="Q203" t="s">
        <v>111</v>
      </c>
      <c r="R203" t="s">
        <v>221</v>
      </c>
    </row>
    <row r="204" spans="1:18" x14ac:dyDescent="0.25">
      <c r="A204">
        <v>34203</v>
      </c>
      <c r="B204" t="s">
        <v>781</v>
      </c>
      <c r="C204">
        <v>34203</v>
      </c>
      <c r="D204">
        <v>899</v>
      </c>
      <c r="E204" t="s">
        <v>119</v>
      </c>
      <c r="F204">
        <v>30</v>
      </c>
      <c r="G204" t="s">
        <v>782</v>
      </c>
      <c r="H204" t="s">
        <v>121</v>
      </c>
      <c r="I204" t="s">
        <v>105</v>
      </c>
      <c r="J204" t="s">
        <v>122</v>
      </c>
      <c r="K204" t="s">
        <v>106</v>
      </c>
      <c r="L204" t="s">
        <v>107</v>
      </c>
      <c r="M204">
        <v>100181</v>
      </c>
      <c r="N204" t="s">
        <v>125</v>
      </c>
      <c r="O204" t="s">
        <v>109</v>
      </c>
      <c r="P204" t="s">
        <v>110</v>
      </c>
      <c r="Q204" t="s">
        <v>132</v>
      </c>
      <c r="R204" t="s">
        <v>180</v>
      </c>
    </row>
    <row r="205" spans="1:18" x14ac:dyDescent="0.25">
      <c r="A205">
        <v>34204</v>
      </c>
      <c r="B205" t="s">
        <v>785</v>
      </c>
      <c r="C205">
        <v>34204</v>
      </c>
      <c r="D205">
        <v>595</v>
      </c>
      <c r="E205" t="s">
        <v>147</v>
      </c>
      <c r="F205">
        <v>20</v>
      </c>
      <c r="G205" t="s">
        <v>786</v>
      </c>
      <c r="H205" t="s">
        <v>121</v>
      </c>
      <c r="I205" t="s">
        <v>150</v>
      </c>
      <c r="J205" t="s">
        <v>175</v>
      </c>
      <c r="K205" t="s">
        <v>176</v>
      </c>
      <c r="L205" t="s">
        <v>177</v>
      </c>
      <c r="M205">
        <v>100031</v>
      </c>
      <c r="N205" t="s">
        <v>178</v>
      </c>
      <c r="O205" t="s">
        <v>179</v>
      </c>
      <c r="P205" t="s">
        <v>110</v>
      </c>
      <c r="Q205" t="s">
        <v>111</v>
      </c>
      <c r="R205" t="s">
        <v>180</v>
      </c>
    </row>
    <row r="206" spans="1:18" x14ac:dyDescent="0.25">
      <c r="A206">
        <v>34205</v>
      </c>
      <c r="B206" t="s">
        <v>788</v>
      </c>
      <c r="C206">
        <v>34205</v>
      </c>
      <c r="D206">
        <v>1803</v>
      </c>
      <c r="E206" t="s">
        <v>449</v>
      </c>
      <c r="F206">
        <v>20</v>
      </c>
      <c r="G206" t="s">
        <v>789</v>
      </c>
      <c r="H206" t="s">
        <v>121</v>
      </c>
      <c r="I206" t="s">
        <v>150</v>
      </c>
      <c r="J206" t="s">
        <v>175</v>
      </c>
      <c r="K206" t="s">
        <v>152</v>
      </c>
      <c r="L206" t="s">
        <v>153</v>
      </c>
      <c r="M206">
        <v>100219</v>
      </c>
      <c r="N206" t="s">
        <v>284</v>
      </c>
      <c r="O206" t="s">
        <v>179</v>
      </c>
      <c r="P206" t="s">
        <v>110</v>
      </c>
      <c r="Q206" t="s">
        <v>132</v>
      </c>
      <c r="R206" t="s">
        <v>156</v>
      </c>
    </row>
    <row r="207" spans="1:18" x14ac:dyDescent="0.25">
      <c r="A207">
        <v>34206</v>
      </c>
      <c r="B207" t="s">
        <v>790</v>
      </c>
      <c r="C207">
        <v>34206</v>
      </c>
      <c r="D207">
        <v>597</v>
      </c>
      <c r="E207" t="s">
        <v>101</v>
      </c>
      <c r="F207">
        <v>20</v>
      </c>
      <c r="G207" t="s">
        <v>791</v>
      </c>
      <c r="H207" t="s">
        <v>103</v>
      </c>
      <c r="I207" t="s">
        <v>104</v>
      </c>
      <c r="J207" t="s">
        <v>140</v>
      </c>
      <c r="K207" t="s">
        <v>141</v>
      </c>
      <c r="L207" t="s">
        <v>142</v>
      </c>
      <c r="M207">
        <v>100248</v>
      </c>
      <c r="N207" t="s">
        <v>198</v>
      </c>
      <c r="O207" t="s">
        <v>144</v>
      </c>
      <c r="P207" t="s">
        <v>110</v>
      </c>
      <c r="Q207" t="s">
        <v>111</v>
      </c>
      <c r="R207" t="s">
        <v>112</v>
      </c>
    </row>
    <row r="208" spans="1:18" x14ac:dyDescent="0.25">
      <c r="A208">
        <v>34207</v>
      </c>
      <c r="B208" t="s">
        <v>792</v>
      </c>
      <c r="C208">
        <v>34207</v>
      </c>
      <c r="D208">
        <v>1094</v>
      </c>
      <c r="E208" t="s">
        <v>128</v>
      </c>
      <c r="F208">
        <v>20</v>
      </c>
      <c r="G208" t="s">
        <v>793</v>
      </c>
      <c r="H208" t="s">
        <v>121</v>
      </c>
      <c r="I208" t="s">
        <v>105</v>
      </c>
      <c r="J208" t="s">
        <v>122</v>
      </c>
      <c r="K208" t="s">
        <v>106</v>
      </c>
      <c r="L208" t="s">
        <v>107</v>
      </c>
      <c r="M208">
        <v>100181</v>
      </c>
      <c r="N208" t="s">
        <v>125</v>
      </c>
      <c r="O208" t="s">
        <v>109</v>
      </c>
      <c r="P208" t="s">
        <v>110</v>
      </c>
      <c r="Q208" t="s">
        <v>111</v>
      </c>
      <c r="R208" t="s">
        <v>180</v>
      </c>
    </row>
    <row r="209" spans="1:18" x14ac:dyDescent="0.25">
      <c r="A209">
        <v>34208</v>
      </c>
      <c r="B209" t="s">
        <v>794</v>
      </c>
      <c r="C209">
        <v>34208</v>
      </c>
      <c r="D209">
        <v>587</v>
      </c>
      <c r="E209" t="s">
        <v>147</v>
      </c>
      <c r="F209">
        <v>20</v>
      </c>
      <c r="G209" t="s">
        <v>795</v>
      </c>
      <c r="H209" t="s">
        <v>121</v>
      </c>
      <c r="I209" t="s">
        <v>150</v>
      </c>
      <c r="J209" t="s">
        <v>175</v>
      </c>
      <c r="K209" t="s">
        <v>176</v>
      </c>
      <c r="L209" t="s">
        <v>177</v>
      </c>
      <c r="M209">
        <v>100031</v>
      </c>
      <c r="N209" t="s">
        <v>178</v>
      </c>
      <c r="O209" t="s">
        <v>179</v>
      </c>
      <c r="P209" t="s">
        <v>110</v>
      </c>
      <c r="Q209" t="s">
        <v>132</v>
      </c>
      <c r="R209" t="s">
        <v>180</v>
      </c>
    </row>
    <row r="210" spans="1:18" x14ac:dyDescent="0.25">
      <c r="A210">
        <v>34209</v>
      </c>
      <c r="B210" t="s">
        <v>796</v>
      </c>
      <c r="C210">
        <v>34209</v>
      </c>
      <c r="D210">
        <v>2000</v>
      </c>
      <c r="E210" t="s">
        <v>101</v>
      </c>
      <c r="F210">
        <v>20</v>
      </c>
      <c r="G210" t="s">
        <v>797</v>
      </c>
      <c r="H210" t="s">
        <v>121</v>
      </c>
      <c r="I210" t="s">
        <v>105</v>
      </c>
      <c r="J210" t="s">
        <v>105</v>
      </c>
      <c r="K210" t="s">
        <v>130</v>
      </c>
      <c r="L210" t="s">
        <v>131</v>
      </c>
      <c r="M210">
        <v>100181</v>
      </c>
      <c r="N210" t="s">
        <v>125</v>
      </c>
      <c r="O210" t="s">
        <v>109</v>
      </c>
      <c r="P210" t="s">
        <v>110</v>
      </c>
      <c r="Q210" t="s">
        <v>111</v>
      </c>
      <c r="R210" t="s">
        <v>180</v>
      </c>
    </row>
    <row r="211" spans="1:18" x14ac:dyDescent="0.25">
      <c r="A211">
        <v>34210</v>
      </c>
      <c r="B211" t="s">
        <v>798</v>
      </c>
      <c r="C211">
        <v>34210</v>
      </c>
      <c r="D211">
        <v>1397</v>
      </c>
      <c r="E211" t="s">
        <v>147</v>
      </c>
      <c r="F211">
        <v>20</v>
      </c>
      <c r="G211" t="s">
        <v>799</v>
      </c>
      <c r="H211" t="s">
        <v>121</v>
      </c>
      <c r="I211" t="s">
        <v>150</v>
      </c>
      <c r="J211" t="s">
        <v>175</v>
      </c>
      <c r="K211" t="s">
        <v>176</v>
      </c>
      <c r="L211" t="s">
        <v>177</v>
      </c>
      <c r="M211">
        <v>100031</v>
      </c>
      <c r="N211" t="s">
        <v>178</v>
      </c>
      <c r="O211" t="s">
        <v>179</v>
      </c>
      <c r="P211" t="s">
        <v>110</v>
      </c>
      <c r="Q211" t="s">
        <v>111</v>
      </c>
      <c r="R211" t="s">
        <v>180</v>
      </c>
    </row>
    <row r="212" spans="1:18" x14ac:dyDescent="0.25">
      <c r="A212">
        <v>34211</v>
      </c>
      <c r="B212" t="s">
        <v>801</v>
      </c>
      <c r="C212">
        <v>34211</v>
      </c>
      <c r="D212">
        <v>471</v>
      </c>
      <c r="E212" t="s">
        <v>162</v>
      </c>
      <c r="F212">
        <v>12</v>
      </c>
      <c r="G212" t="s">
        <v>802</v>
      </c>
      <c r="H212" t="s">
        <v>103</v>
      </c>
      <c r="I212" t="s">
        <v>104</v>
      </c>
      <c r="J212" t="s">
        <v>164</v>
      </c>
      <c r="K212" t="s">
        <v>165</v>
      </c>
      <c r="L212" t="s">
        <v>166</v>
      </c>
      <c r="M212">
        <v>100249</v>
      </c>
      <c r="N212" t="s">
        <v>167</v>
      </c>
      <c r="O212" t="s">
        <v>144</v>
      </c>
      <c r="P212" t="s">
        <v>110</v>
      </c>
      <c r="Q212" t="s">
        <v>111</v>
      </c>
      <c r="R212" t="s">
        <v>112</v>
      </c>
    </row>
    <row r="213" spans="1:18" x14ac:dyDescent="0.25">
      <c r="A213">
        <v>34212</v>
      </c>
      <c r="B213" t="s">
        <v>803</v>
      </c>
      <c r="C213">
        <v>34212</v>
      </c>
      <c r="D213">
        <v>286</v>
      </c>
      <c r="E213" t="s">
        <v>449</v>
      </c>
      <c r="F213">
        <v>20</v>
      </c>
      <c r="G213" t="s">
        <v>804</v>
      </c>
      <c r="H213" t="s">
        <v>121</v>
      </c>
      <c r="I213" t="s">
        <v>150</v>
      </c>
      <c r="J213" t="s">
        <v>175</v>
      </c>
      <c r="K213" t="s">
        <v>152</v>
      </c>
      <c r="L213" t="s">
        <v>153</v>
      </c>
      <c r="M213">
        <v>100219</v>
      </c>
      <c r="N213" t="s">
        <v>284</v>
      </c>
      <c r="O213" t="s">
        <v>179</v>
      </c>
      <c r="P213" t="s">
        <v>110</v>
      </c>
      <c r="Q213" t="s">
        <v>132</v>
      </c>
      <c r="R213" t="s">
        <v>156</v>
      </c>
    </row>
    <row r="214" spans="1:18" x14ac:dyDescent="0.25">
      <c r="A214">
        <v>34213</v>
      </c>
      <c r="B214" t="s">
        <v>805</v>
      </c>
      <c r="C214">
        <v>34213</v>
      </c>
      <c r="D214">
        <v>3001</v>
      </c>
      <c r="E214" t="s">
        <v>147</v>
      </c>
      <c r="F214">
        <v>20</v>
      </c>
      <c r="G214" t="s">
        <v>806</v>
      </c>
      <c r="H214" t="s">
        <v>121</v>
      </c>
      <c r="I214" t="s">
        <v>227</v>
      </c>
      <c r="J214" t="s">
        <v>122</v>
      </c>
      <c r="K214" t="s">
        <v>123</v>
      </c>
      <c r="L214" t="s">
        <v>124</v>
      </c>
      <c r="M214">
        <v>100259</v>
      </c>
      <c r="N214" t="s">
        <v>230</v>
      </c>
      <c r="O214" t="s">
        <v>109</v>
      </c>
      <c r="P214" t="s">
        <v>110</v>
      </c>
      <c r="Q214" t="s">
        <v>111</v>
      </c>
      <c r="R214" t="s">
        <v>221</v>
      </c>
    </row>
    <row r="215" spans="1:18" x14ac:dyDescent="0.25">
      <c r="A215">
        <v>34214</v>
      </c>
      <c r="B215" t="s">
        <v>810</v>
      </c>
      <c r="C215">
        <v>34214</v>
      </c>
      <c r="D215">
        <v>1011</v>
      </c>
      <c r="E215" t="s">
        <v>101</v>
      </c>
      <c r="F215">
        <v>20</v>
      </c>
      <c r="G215" t="s">
        <v>811</v>
      </c>
      <c r="H215" t="s">
        <v>103</v>
      </c>
      <c r="I215" t="s">
        <v>104</v>
      </c>
      <c r="J215" t="s">
        <v>105</v>
      </c>
      <c r="K215" t="s">
        <v>206</v>
      </c>
      <c r="L215" t="s">
        <v>207</v>
      </c>
      <c r="M215">
        <v>100258</v>
      </c>
      <c r="N215" t="s">
        <v>108</v>
      </c>
      <c r="O215" t="s">
        <v>144</v>
      </c>
      <c r="P215" t="s">
        <v>110</v>
      </c>
      <c r="Q215" t="s">
        <v>132</v>
      </c>
      <c r="R215" t="s">
        <v>112</v>
      </c>
    </row>
    <row r="216" spans="1:18" x14ac:dyDescent="0.25">
      <c r="A216">
        <v>34215</v>
      </c>
      <c r="B216" t="s">
        <v>812</v>
      </c>
      <c r="C216">
        <v>34215</v>
      </c>
      <c r="D216">
        <v>297</v>
      </c>
      <c r="E216" t="s">
        <v>147</v>
      </c>
      <c r="F216">
        <v>20</v>
      </c>
      <c r="G216" t="s">
        <v>813</v>
      </c>
      <c r="H216" t="s">
        <v>121</v>
      </c>
      <c r="I216" t="s">
        <v>150</v>
      </c>
      <c r="J216" t="s">
        <v>175</v>
      </c>
      <c r="K216" t="s">
        <v>176</v>
      </c>
      <c r="L216" t="s">
        <v>177</v>
      </c>
      <c r="M216">
        <v>100031</v>
      </c>
      <c r="N216" t="s">
        <v>178</v>
      </c>
      <c r="O216" t="s">
        <v>179</v>
      </c>
      <c r="P216" t="s">
        <v>110</v>
      </c>
      <c r="Q216" t="s">
        <v>111</v>
      </c>
      <c r="R216" t="s">
        <v>180</v>
      </c>
    </row>
    <row r="217" spans="1:18" x14ac:dyDescent="0.25">
      <c r="A217">
        <v>34216</v>
      </c>
      <c r="B217" t="s">
        <v>814</v>
      </c>
      <c r="C217">
        <v>34216</v>
      </c>
      <c r="D217">
        <v>368</v>
      </c>
      <c r="E217" t="s">
        <v>162</v>
      </c>
      <c r="F217">
        <v>20</v>
      </c>
      <c r="G217" t="s">
        <v>815</v>
      </c>
      <c r="H217" t="s">
        <v>103</v>
      </c>
      <c r="I217" t="s">
        <v>104</v>
      </c>
      <c r="J217" t="s">
        <v>164</v>
      </c>
      <c r="K217" t="s">
        <v>165</v>
      </c>
      <c r="L217" t="s">
        <v>166</v>
      </c>
      <c r="M217">
        <v>100249</v>
      </c>
      <c r="N217" t="s">
        <v>167</v>
      </c>
      <c r="O217" t="s">
        <v>109</v>
      </c>
      <c r="P217" t="s">
        <v>110</v>
      </c>
      <c r="Q217" t="s">
        <v>132</v>
      </c>
      <c r="R217" t="s">
        <v>112</v>
      </c>
    </row>
    <row r="218" spans="1:18" x14ac:dyDescent="0.25">
      <c r="A218">
        <v>34217</v>
      </c>
      <c r="B218" t="s">
        <v>816</v>
      </c>
      <c r="C218">
        <v>34217</v>
      </c>
      <c r="D218">
        <v>884</v>
      </c>
      <c r="E218" t="s">
        <v>147</v>
      </c>
      <c r="F218">
        <v>20</v>
      </c>
      <c r="G218" t="s">
        <v>817</v>
      </c>
      <c r="H218" t="s">
        <v>149</v>
      </c>
      <c r="I218" t="s">
        <v>216</v>
      </c>
      <c r="J218" t="s">
        <v>217</v>
      </c>
      <c r="K218" t="s">
        <v>192</v>
      </c>
      <c r="L218" t="s">
        <v>193</v>
      </c>
      <c r="M218">
        <v>100253</v>
      </c>
      <c r="N218" t="s">
        <v>220</v>
      </c>
      <c r="O218" t="s">
        <v>109</v>
      </c>
      <c r="P218" t="s">
        <v>110</v>
      </c>
      <c r="Q218" t="s">
        <v>111</v>
      </c>
      <c r="R218" t="s">
        <v>221</v>
      </c>
    </row>
    <row r="219" spans="1:18" x14ac:dyDescent="0.25">
      <c r="A219">
        <v>34218</v>
      </c>
      <c r="B219" t="s">
        <v>820</v>
      </c>
      <c r="C219">
        <v>34218</v>
      </c>
      <c r="D219">
        <v>1994</v>
      </c>
      <c r="E219" t="s">
        <v>119</v>
      </c>
      <c r="F219">
        <v>30</v>
      </c>
      <c r="G219" t="s">
        <v>821</v>
      </c>
      <c r="H219" t="s">
        <v>103</v>
      </c>
      <c r="I219" t="s">
        <v>104</v>
      </c>
      <c r="J219" t="s">
        <v>140</v>
      </c>
      <c r="K219" t="s">
        <v>141</v>
      </c>
      <c r="L219" t="s">
        <v>142</v>
      </c>
      <c r="M219">
        <v>100248</v>
      </c>
      <c r="N219" t="s">
        <v>198</v>
      </c>
      <c r="O219" t="s">
        <v>144</v>
      </c>
      <c r="P219" t="s">
        <v>110</v>
      </c>
      <c r="Q219" t="s">
        <v>132</v>
      </c>
      <c r="R219" t="s">
        <v>112</v>
      </c>
    </row>
    <row r="220" spans="1:18" x14ac:dyDescent="0.25">
      <c r="A220">
        <v>34219</v>
      </c>
      <c r="B220" t="s">
        <v>822</v>
      </c>
      <c r="C220">
        <v>34219</v>
      </c>
      <c r="D220">
        <v>1660</v>
      </c>
      <c r="E220" t="s">
        <v>119</v>
      </c>
      <c r="F220">
        <v>30</v>
      </c>
      <c r="G220" t="s">
        <v>823</v>
      </c>
      <c r="H220" t="s">
        <v>103</v>
      </c>
      <c r="I220" t="s">
        <v>104</v>
      </c>
      <c r="J220" t="s">
        <v>259</v>
      </c>
      <c r="K220" t="s">
        <v>141</v>
      </c>
      <c r="L220" t="s">
        <v>142</v>
      </c>
      <c r="M220">
        <v>100257</v>
      </c>
      <c r="N220" t="s">
        <v>143</v>
      </c>
      <c r="O220" t="s">
        <v>144</v>
      </c>
      <c r="P220" t="s">
        <v>110</v>
      </c>
      <c r="Q220" t="s">
        <v>132</v>
      </c>
      <c r="R220" t="s">
        <v>112</v>
      </c>
    </row>
    <row r="221" spans="1:18" x14ac:dyDescent="0.25">
      <c r="A221">
        <v>34220</v>
      </c>
      <c r="B221" t="s">
        <v>824</v>
      </c>
      <c r="C221">
        <v>34220</v>
      </c>
      <c r="D221">
        <v>1599</v>
      </c>
      <c r="E221" t="s">
        <v>449</v>
      </c>
      <c r="F221">
        <v>20</v>
      </c>
      <c r="G221" t="s">
        <v>825</v>
      </c>
      <c r="H221" t="s">
        <v>121</v>
      </c>
      <c r="I221" t="s">
        <v>150</v>
      </c>
      <c r="J221" t="s">
        <v>175</v>
      </c>
      <c r="K221" t="s">
        <v>152</v>
      </c>
      <c r="L221" t="s">
        <v>153</v>
      </c>
      <c r="M221">
        <v>100219</v>
      </c>
      <c r="N221" t="s">
        <v>284</v>
      </c>
      <c r="O221" t="s">
        <v>179</v>
      </c>
      <c r="P221" t="s">
        <v>110</v>
      </c>
      <c r="Q221" t="s">
        <v>111</v>
      </c>
      <c r="R221" t="s">
        <v>156</v>
      </c>
    </row>
    <row r="222" spans="1:18" x14ac:dyDescent="0.25">
      <c r="A222">
        <v>34221</v>
      </c>
      <c r="B222" t="s">
        <v>826</v>
      </c>
      <c r="C222">
        <v>34221</v>
      </c>
      <c r="D222">
        <v>3132</v>
      </c>
      <c r="E222" t="s">
        <v>147</v>
      </c>
      <c r="F222">
        <v>20</v>
      </c>
      <c r="G222" t="s">
        <v>827</v>
      </c>
      <c r="H222" t="s">
        <v>121</v>
      </c>
      <c r="I222" t="s">
        <v>150</v>
      </c>
      <c r="J222" t="s">
        <v>175</v>
      </c>
      <c r="K222" t="s">
        <v>176</v>
      </c>
      <c r="L222" t="s">
        <v>177</v>
      </c>
      <c r="M222">
        <v>100031</v>
      </c>
      <c r="N222" t="s">
        <v>178</v>
      </c>
      <c r="O222" t="s">
        <v>179</v>
      </c>
      <c r="P222" t="s">
        <v>110</v>
      </c>
      <c r="Q222" t="s">
        <v>132</v>
      </c>
      <c r="R222" t="s">
        <v>180</v>
      </c>
    </row>
    <row r="223" spans="1:18" x14ac:dyDescent="0.25">
      <c r="A223">
        <v>34222</v>
      </c>
      <c r="B223" t="s">
        <v>828</v>
      </c>
      <c r="C223">
        <v>34222</v>
      </c>
      <c r="D223">
        <v>270</v>
      </c>
      <c r="E223" t="s">
        <v>147</v>
      </c>
      <c r="F223">
        <v>20</v>
      </c>
      <c r="G223" t="s">
        <v>829</v>
      </c>
      <c r="H223" t="s">
        <v>121</v>
      </c>
      <c r="I223" t="s">
        <v>150</v>
      </c>
      <c r="J223" t="s">
        <v>175</v>
      </c>
      <c r="K223" t="s">
        <v>176</v>
      </c>
      <c r="L223" t="s">
        <v>177</v>
      </c>
      <c r="M223">
        <v>100031</v>
      </c>
      <c r="N223" t="s">
        <v>178</v>
      </c>
      <c r="O223" t="s">
        <v>179</v>
      </c>
      <c r="P223" t="s">
        <v>110</v>
      </c>
      <c r="Q223" t="s">
        <v>111</v>
      </c>
      <c r="R223" t="s">
        <v>180</v>
      </c>
    </row>
    <row r="224" spans="1:18" x14ac:dyDescent="0.25">
      <c r="A224">
        <v>34223</v>
      </c>
      <c r="B224" t="s">
        <v>830</v>
      </c>
      <c r="C224">
        <v>34223</v>
      </c>
      <c r="D224">
        <v>650</v>
      </c>
      <c r="E224" t="s">
        <v>101</v>
      </c>
      <c r="F224">
        <v>20</v>
      </c>
      <c r="G224" t="s">
        <v>831</v>
      </c>
      <c r="H224" t="s">
        <v>103</v>
      </c>
      <c r="I224" t="s">
        <v>104</v>
      </c>
      <c r="J224" t="s">
        <v>105</v>
      </c>
      <c r="K224" t="s">
        <v>206</v>
      </c>
      <c r="L224" t="s">
        <v>207</v>
      </c>
      <c r="M224">
        <v>100258</v>
      </c>
      <c r="N224" t="s">
        <v>108</v>
      </c>
      <c r="O224" t="s">
        <v>109</v>
      </c>
      <c r="P224" t="s">
        <v>110</v>
      </c>
      <c r="Q224" t="s">
        <v>132</v>
      </c>
      <c r="R224" t="s">
        <v>112</v>
      </c>
    </row>
    <row r="225" spans="1:18" x14ac:dyDescent="0.25">
      <c r="A225">
        <v>34224</v>
      </c>
      <c r="B225" t="s">
        <v>832</v>
      </c>
      <c r="C225">
        <v>34224</v>
      </c>
      <c r="D225">
        <v>1300</v>
      </c>
      <c r="E225" t="s">
        <v>101</v>
      </c>
      <c r="F225">
        <v>20</v>
      </c>
      <c r="G225" t="s">
        <v>833</v>
      </c>
      <c r="H225" t="s">
        <v>103</v>
      </c>
      <c r="I225" t="s">
        <v>104</v>
      </c>
      <c r="J225" t="s">
        <v>105</v>
      </c>
      <c r="K225" t="s">
        <v>106</v>
      </c>
      <c r="L225" t="s">
        <v>107</v>
      </c>
      <c r="M225">
        <v>100258</v>
      </c>
      <c r="N225" t="s">
        <v>108</v>
      </c>
      <c r="O225" t="s">
        <v>109</v>
      </c>
      <c r="P225" t="s">
        <v>110</v>
      </c>
      <c r="Q225" t="s">
        <v>111</v>
      </c>
      <c r="R225" t="s">
        <v>112</v>
      </c>
    </row>
    <row r="226" spans="1:18" x14ac:dyDescent="0.25">
      <c r="A226">
        <v>34225</v>
      </c>
      <c r="B226" t="s">
        <v>834</v>
      </c>
      <c r="C226">
        <v>34225</v>
      </c>
      <c r="D226">
        <v>2816</v>
      </c>
      <c r="E226" t="s">
        <v>101</v>
      </c>
      <c r="F226">
        <v>20</v>
      </c>
      <c r="G226" t="s">
        <v>835</v>
      </c>
      <c r="H226" t="s">
        <v>103</v>
      </c>
      <c r="I226" t="s">
        <v>104</v>
      </c>
      <c r="J226" t="s">
        <v>140</v>
      </c>
      <c r="K226" t="s">
        <v>141</v>
      </c>
      <c r="L226" t="s">
        <v>142</v>
      </c>
      <c r="M226">
        <v>100248</v>
      </c>
      <c r="N226" t="s">
        <v>198</v>
      </c>
      <c r="O226" t="s">
        <v>144</v>
      </c>
      <c r="P226" t="s">
        <v>110</v>
      </c>
      <c r="Q226" t="s">
        <v>111</v>
      </c>
      <c r="R226" t="s">
        <v>112</v>
      </c>
    </row>
    <row r="227" spans="1:18" x14ac:dyDescent="0.25">
      <c r="A227">
        <v>34226</v>
      </c>
      <c r="B227" t="s">
        <v>836</v>
      </c>
      <c r="C227">
        <v>34226</v>
      </c>
      <c r="D227">
        <v>3009</v>
      </c>
      <c r="E227" t="s">
        <v>101</v>
      </c>
      <c r="F227">
        <v>20</v>
      </c>
      <c r="G227" t="s">
        <v>837</v>
      </c>
      <c r="H227" t="s">
        <v>103</v>
      </c>
      <c r="I227" t="s">
        <v>104</v>
      </c>
      <c r="J227" t="s">
        <v>140</v>
      </c>
      <c r="K227" t="s">
        <v>141</v>
      </c>
      <c r="L227" t="s">
        <v>142</v>
      </c>
      <c r="M227">
        <v>100248</v>
      </c>
      <c r="N227" t="s">
        <v>198</v>
      </c>
      <c r="O227" t="s">
        <v>144</v>
      </c>
      <c r="P227" t="s">
        <v>110</v>
      </c>
      <c r="Q227" t="s">
        <v>111</v>
      </c>
      <c r="R227" t="s">
        <v>112</v>
      </c>
    </row>
    <row r="228" spans="1:18" x14ac:dyDescent="0.25">
      <c r="A228">
        <v>34227</v>
      </c>
      <c r="B228" t="s">
        <v>839</v>
      </c>
      <c r="C228">
        <v>34227</v>
      </c>
      <c r="D228">
        <v>627</v>
      </c>
      <c r="E228" t="s">
        <v>147</v>
      </c>
      <c r="F228">
        <v>20</v>
      </c>
      <c r="G228" t="s">
        <v>840</v>
      </c>
      <c r="H228" t="s">
        <v>149</v>
      </c>
      <c r="I228" t="s">
        <v>216</v>
      </c>
      <c r="J228" t="s">
        <v>217</v>
      </c>
      <c r="K228" t="s">
        <v>218</v>
      </c>
      <c r="L228" t="s">
        <v>219</v>
      </c>
      <c r="M228">
        <v>100253</v>
      </c>
      <c r="N228" t="s">
        <v>220</v>
      </c>
      <c r="O228" t="s">
        <v>109</v>
      </c>
      <c r="P228" t="s">
        <v>110</v>
      </c>
      <c r="Q228" t="s">
        <v>132</v>
      </c>
      <c r="R228" t="s">
        <v>221</v>
      </c>
    </row>
    <row r="229" spans="1:18" x14ac:dyDescent="0.25">
      <c r="A229">
        <v>34228</v>
      </c>
      <c r="B229" t="s">
        <v>842</v>
      </c>
      <c r="C229">
        <v>34228</v>
      </c>
      <c r="D229">
        <v>2236</v>
      </c>
      <c r="E229" t="s">
        <v>119</v>
      </c>
      <c r="F229">
        <v>30</v>
      </c>
      <c r="G229" t="s">
        <v>843</v>
      </c>
      <c r="H229" t="s">
        <v>103</v>
      </c>
      <c r="I229" t="s">
        <v>104</v>
      </c>
      <c r="J229" t="s">
        <v>259</v>
      </c>
      <c r="K229" t="s">
        <v>141</v>
      </c>
      <c r="L229" t="s">
        <v>142</v>
      </c>
      <c r="M229">
        <v>100257</v>
      </c>
      <c r="N229" t="s">
        <v>143</v>
      </c>
      <c r="O229" t="s">
        <v>144</v>
      </c>
      <c r="P229" t="s">
        <v>110</v>
      </c>
      <c r="Q229" t="s">
        <v>132</v>
      </c>
      <c r="R229" t="s">
        <v>112</v>
      </c>
    </row>
    <row r="230" spans="1:18" x14ac:dyDescent="0.25">
      <c r="A230">
        <v>34229</v>
      </c>
      <c r="B230" t="s">
        <v>844</v>
      </c>
      <c r="C230">
        <v>34229</v>
      </c>
      <c r="D230">
        <v>5672</v>
      </c>
      <c r="E230" t="s">
        <v>119</v>
      </c>
      <c r="F230">
        <v>30</v>
      </c>
      <c r="G230" t="s">
        <v>845</v>
      </c>
      <c r="H230" t="s">
        <v>103</v>
      </c>
      <c r="I230" t="s">
        <v>104</v>
      </c>
      <c r="J230" t="s">
        <v>259</v>
      </c>
      <c r="K230" t="s">
        <v>141</v>
      </c>
      <c r="L230" t="s">
        <v>142</v>
      </c>
      <c r="M230">
        <v>100257</v>
      </c>
      <c r="N230" t="s">
        <v>143</v>
      </c>
      <c r="O230" t="s">
        <v>144</v>
      </c>
      <c r="P230" t="s">
        <v>110</v>
      </c>
      <c r="Q230" t="s">
        <v>132</v>
      </c>
      <c r="R230" t="s">
        <v>112</v>
      </c>
    </row>
    <row r="231" spans="1:18" x14ac:dyDescent="0.25">
      <c r="A231">
        <v>34230</v>
      </c>
      <c r="B231" t="s">
        <v>846</v>
      </c>
      <c r="C231">
        <v>34230</v>
      </c>
      <c r="D231">
        <v>2403</v>
      </c>
      <c r="E231" t="s">
        <v>449</v>
      </c>
      <c r="F231">
        <v>20</v>
      </c>
      <c r="G231" t="s">
        <v>847</v>
      </c>
      <c r="H231" t="s">
        <v>121</v>
      </c>
      <c r="I231" t="s">
        <v>150</v>
      </c>
      <c r="J231" t="s">
        <v>175</v>
      </c>
      <c r="K231" t="s">
        <v>152</v>
      </c>
      <c r="L231" t="s">
        <v>153</v>
      </c>
      <c r="M231">
        <v>100219</v>
      </c>
      <c r="N231" t="s">
        <v>284</v>
      </c>
      <c r="O231" t="s">
        <v>179</v>
      </c>
      <c r="P231" t="s">
        <v>110</v>
      </c>
      <c r="Q231" t="s">
        <v>111</v>
      </c>
      <c r="R231" t="s">
        <v>156</v>
      </c>
    </row>
    <row r="232" spans="1:18" x14ac:dyDescent="0.25">
      <c r="A232">
        <v>34231</v>
      </c>
      <c r="B232" t="s">
        <v>848</v>
      </c>
      <c r="C232">
        <v>34231</v>
      </c>
      <c r="D232">
        <v>351</v>
      </c>
      <c r="E232" t="s">
        <v>449</v>
      </c>
      <c r="F232">
        <v>20</v>
      </c>
      <c r="G232" t="s">
        <v>849</v>
      </c>
      <c r="H232" t="s">
        <v>121</v>
      </c>
      <c r="I232" t="s">
        <v>150</v>
      </c>
      <c r="J232" t="s">
        <v>164</v>
      </c>
      <c r="K232" t="s">
        <v>152</v>
      </c>
      <c r="L232" t="s">
        <v>153</v>
      </c>
      <c r="M232">
        <v>100219</v>
      </c>
      <c r="N232" t="s">
        <v>284</v>
      </c>
      <c r="O232" t="s">
        <v>179</v>
      </c>
      <c r="P232" t="s">
        <v>110</v>
      </c>
      <c r="Q232" t="s">
        <v>111</v>
      </c>
      <c r="R232" t="s">
        <v>156</v>
      </c>
    </row>
    <row r="233" spans="1:18" x14ac:dyDescent="0.25">
      <c r="A233">
        <v>34232</v>
      </c>
      <c r="B233" t="s">
        <v>850</v>
      </c>
      <c r="C233">
        <v>34232</v>
      </c>
      <c r="D233">
        <v>3970</v>
      </c>
      <c r="E233" t="s">
        <v>119</v>
      </c>
      <c r="F233">
        <v>30</v>
      </c>
      <c r="G233" t="s">
        <v>851</v>
      </c>
      <c r="H233" t="s">
        <v>103</v>
      </c>
      <c r="I233" t="s">
        <v>104</v>
      </c>
      <c r="J233" t="s">
        <v>259</v>
      </c>
      <c r="K233" t="s">
        <v>141</v>
      </c>
      <c r="L233" t="s">
        <v>142</v>
      </c>
      <c r="M233">
        <v>100257</v>
      </c>
      <c r="N233" t="s">
        <v>143</v>
      </c>
      <c r="O233" t="s">
        <v>144</v>
      </c>
      <c r="P233" t="s">
        <v>110</v>
      </c>
      <c r="Q233" t="s">
        <v>132</v>
      </c>
      <c r="R233" t="s">
        <v>112</v>
      </c>
    </row>
    <row r="234" spans="1:18" x14ac:dyDescent="0.25">
      <c r="A234">
        <v>34233</v>
      </c>
      <c r="B234" t="s">
        <v>852</v>
      </c>
      <c r="C234">
        <v>34233</v>
      </c>
      <c r="D234">
        <v>2297</v>
      </c>
      <c r="E234" t="s">
        <v>119</v>
      </c>
      <c r="F234">
        <v>30</v>
      </c>
      <c r="G234" t="s">
        <v>853</v>
      </c>
      <c r="H234" t="s">
        <v>121</v>
      </c>
      <c r="I234" t="s">
        <v>150</v>
      </c>
      <c r="J234" t="s">
        <v>164</v>
      </c>
      <c r="K234" t="s">
        <v>152</v>
      </c>
      <c r="L234" t="s">
        <v>153</v>
      </c>
      <c r="M234">
        <v>100219</v>
      </c>
      <c r="N234" t="s">
        <v>284</v>
      </c>
      <c r="O234" t="s">
        <v>179</v>
      </c>
      <c r="P234" t="s">
        <v>110</v>
      </c>
      <c r="Q234" t="s">
        <v>132</v>
      </c>
      <c r="R234" t="s">
        <v>156</v>
      </c>
    </row>
    <row r="235" spans="1:18" x14ac:dyDescent="0.25">
      <c r="A235">
        <v>34234</v>
      </c>
      <c r="B235" t="s">
        <v>854</v>
      </c>
      <c r="C235">
        <v>34234</v>
      </c>
      <c r="D235">
        <v>909</v>
      </c>
      <c r="E235" t="s">
        <v>119</v>
      </c>
      <c r="F235">
        <v>30</v>
      </c>
      <c r="G235" t="s">
        <v>855</v>
      </c>
      <c r="H235" t="s">
        <v>103</v>
      </c>
      <c r="I235" t="s">
        <v>104</v>
      </c>
      <c r="J235" t="s">
        <v>105</v>
      </c>
      <c r="K235" t="s">
        <v>206</v>
      </c>
      <c r="L235" t="s">
        <v>207</v>
      </c>
      <c r="M235">
        <v>100258</v>
      </c>
      <c r="N235" t="s">
        <v>108</v>
      </c>
      <c r="O235" t="s">
        <v>109</v>
      </c>
      <c r="P235" t="s">
        <v>110</v>
      </c>
      <c r="Q235" t="s">
        <v>111</v>
      </c>
      <c r="R235" t="s">
        <v>112</v>
      </c>
    </row>
    <row r="236" spans="1:18" x14ac:dyDescent="0.25">
      <c r="A236">
        <v>34235</v>
      </c>
      <c r="B236" t="s">
        <v>856</v>
      </c>
      <c r="C236">
        <v>34235</v>
      </c>
      <c r="D236">
        <v>5267</v>
      </c>
      <c r="E236" t="s">
        <v>162</v>
      </c>
      <c r="F236">
        <v>20</v>
      </c>
      <c r="G236" t="s">
        <v>857</v>
      </c>
      <c r="H236" t="s">
        <v>103</v>
      </c>
      <c r="I236" t="s">
        <v>104</v>
      </c>
      <c r="J236" t="s">
        <v>164</v>
      </c>
      <c r="K236" t="s">
        <v>141</v>
      </c>
      <c r="L236" t="s">
        <v>142</v>
      </c>
      <c r="M236">
        <v>100256</v>
      </c>
      <c r="N236" t="s">
        <v>311</v>
      </c>
      <c r="O236" t="s">
        <v>109</v>
      </c>
      <c r="P236" t="s">
        <v>110</v>
      </c>
      <c r="Q236" t="s">
        <v>132</v>
      </c>
      <c r="R236" t="s">
        <v>156</v>
      </c>
    </row>
    <row r="237" spans="1:18" x14ac:dyDescent="0.25">
      <c r="A237">
        <v>34236</v>
      </c>
      <c r="B237" t="s">
        <v>858</v>
      </c>
      <c r="C237">
        <v>34236</v>
      </c>
      <c r="D237">
        <v>2492</v>
      </c>
      <c r="E237" t="s">
        <v>147</v>
      </c>
      <c r="F237">
        <v>20</v>
      </c>
      <c r="G237" t="s">
        <v>859</v>
      </c>
      <c r="H237" t="s">
        <v>149</v>
      </c>
      <c r="I237" t="s">
        <v>150</v>
      </c>
      <c r="J237" t="s">
        <v>151</v>
      </c>
      <c r="K237" t="s">
        <v>152</v>
      </c>
      <c r="L237" t="s">
        <v>153</v>
      </c>
      <c r="M237">
        <v>100235</v>
      </c>
      <c r="N237" t="s">
        <v>194</v>
      </c>
      <c r="O237" t="s">
        <v>109</v>
      </c>
      <c r="P237" t="s">
        <v>110</v>
      </c>
      <c r="Q237" t="s">
        <v>132</v>
      </c>
      <c r="R237" t="s">
        <v>180</v>
      </c>
    </row>
    <row r="238" spans="1:18" x14ac:dyDescent="0.25">
      <c r="A238">
        <v>34237</v>
      </c>
      <c r="B238" t="s">
        <v>860</v>
      </c>
      <c r="C238">
        <v>34237</v>
      </c>
      <c r="D238">
        <v>1694</v>
      </c>
      <c r="E238" t="s">
        <v>119</v>
      </c>
      <c r="F238">
        <v>30</v>
      </c>
      <c r="G238" t="s">
        <v>861</v>
      </c>
      <c r="H238" t="s">
        <v>103</v>
      </c>
      <c r="I238" t="s">
        <v>104</v>
      </c>
      <c r="J238" t="s">
        <v>105</v>
      </c>
      <c r="K238" t="s">
        <v>206</v>
      </c>
      <c r="L238" t="s">
        <v>207</v>
      </c>
      <c r="M238">
        <v>100258</v>
      </c>
      <c r="N238" t="s">
        <v>108</v>
      </c>
      <c r="O238" t="s">
        <v>144</v>
      </c>
      <c r="P238" t="s">
        <v>110</v>
      </c>
      <c r="Q238" t="s">
        <v>132</v>
      </c>
      <c r="R238" t="s">
        <v>112</v>
      </c>
    </row>
    <row r="239" spans="1:18" x14ac:dyDescent="0.25">
      <c r="A239">
        <v>34238</v>
      </c>
      <c r="B239" t="s">
        <v>863</v>
      </c>
      <c r="C239">
        <v>34238</v>
      </c>
      <c r="D239">
        <v>1535</v>
      </c>
      <c r="E239" t="s">
        <v>147</v>
      </c>
      <c r="F239">
        <v>20</v>
      </c>
      <c r="G239" t="s">
        <v>864</v>
      </c>
      <c r="H239" t="s">
        <v>149</v>
      </c>
      <c r="I239" t="s">
        <v>150</v>
      </c>
      <c r="J239" t="s">
        <v>151</v>
      </c>
      <c r="K239" t="s">
        <v>152</v>
      </c>
      <c r="L239" t="s">
        <v>153</v>
      </c>
      <c r="M239">
        <v>100235</v>
      </c>
      <c r="N239" t="s">
        <v>194</v>
      </c>
      <c r="O239" t="s">
        <v>109</v>
      </c>
      <c r="P239" t="s">
        <v>110</v>
      </c>
      <c r="Q239" t="s">
        <v>132</v>
      </c>
      <c r="R239" t="s">
        <v>180</v>
      </c>
    </row>
    <row r="240" spans="1:18" x14ac:dyDescent="0.25">
      <c r="A240">
        <v>34239</v>
      </c>
      <c r="B240" t="s">
        <v>865</v>
      </c>
      <c r="C240">
        <v>34239</v>
      </c>
      <c r="D240">
        <v>1967</v>
      </c>
      <c r="E240" t="s">
        <v>147</v>
      </c>
      <c r="F240">
        <v>20</v>
      </c>
      <c r="G240" t="s">
        <v>866</v>
      </c>
      <c r="H240" t="s">
        <v>121</v>
      </c>
      <c r="I240" t="s">
        <v>150</v>
      </c>
      <c r="J240" t="s">
        <v>175</v>
      </c>
      <c r="K240" t="s">
        <v>176</v>
      </c>
      <c r="L240" t="s">
        <v>177</v>
      </c>
      <c r="M240">
        <v>100031</v>
      </c>
      <c r="N240" t="s">
        <v>178</v>
      </c>
      <c r="O240" t="s">
        <v>179</v>
      </c>
      <c r="P240" t="s">
        <v>110</v>
      </c>
      <c r="Q240" t="s">
        <v>111</v>
      </c>
      <c r="R240" t="s">
        <v>180</v>
      </c>
    </row>
    <row r="241" spans="1:18" x14ac:dyDescent="0.25">
      <c r="A241">
        <v>34240</v>
      </c>
      <c r="B241" t="s">
        <v>869</v>
      </c>
      <c r="C241">
        <v>34240</v>
      </c>
      <c r="D241">
        <v>1260</v>
      </c>
      <c r="E241" t="s">
        <v>147</v>
      </c>
      <c r="F241">
        <v>20</v>
      </c>
      <c r="G241" t="s">
        <v>870</v>
      </c>
      <c r="H241" t="s">
        <v>149</v>
      </c>
      <c r="I241" t="s">
        <v>274</v>
      </c>
      <c r="J241" t="s">
        <v>274</v>
      </c>
      <c r="K241" t="s">
        <v>320</v>
      </c>
      <c r="L241" t="s">
        <v>321</v>
      </c>
      <c r="M241">
        <v>100016</v>
      </c>
      <c r="N241" t="s">
        <v>322</v>
      </c>
      <c r="O241" t="s">
        <v>109</v>
      </c>
      <c r="P241" t="s">
        <v>110</v>
      </c>
      <c r="Q241" t="s">
        <v>132</v>
      </c>
      <c r="R241" t="s">
        <v>180</v>
      </c>
    </row>
    <row r="242" spans="1:18" x14ac:dyDescent="0.25">
      <c r="A242">
        <v>34241</v>
      </c>
      <c r="B242" t="s">
        <v>872</v>
      </c>
      <c r="C242">
        <v>34241</v>
      </c>
      <c r="D242">
        <v>858</v>
      </c>
      <c r="E242" t="s">
        <v>147</v>
      </c>
      <c r="F242">
        <v>20</v>
      </c>
      <c r="G242" t="s">
        <v>873</v>
      </c>
      <c r="H242" t="s">
        <v>121</v>
      </c>
      <c r="I242" t="s">
        <v>150</v>
      </c>
      <c r="J242" t="s">
        <v>175</v>
      </c>
      <c r="K242" t="s">
        <v>176</v>
      </c>
      <c r="L242" t="s">
        <v>177</v>
      </c>
      <c r="M242">
        <v>100031</v>
      </c>
      <c r="N242" t="s">
        <v>178</v>
      </c>
      <c r="O242" t="s">
        <v>179</v>
      </c>
      <c r="P242" t="s">
        <v>110</v>
      </c>
      <c r="Q242" t="s">
        <v>132</v>
      </c>
      <c r="R242" t="s">
        <v>180</v>
      </c>
    </row>
    <row r="243" spans="1:18" x14ac:dyDescent="0.25">
      <c r="A243">
        <v>34242</v>
      </c>
      <c r="B243" t="s">
        <v>874</v>
      </c>
      <c r="C243">
        <v>34242</v>
      </c>
      <c r="D243">
        <v>2136</v>
      </c>
      <c r="E243" t="s">
        <v>147</v>
      </c>
      <c r="F243">
        <v>20</v>
      </c>
      <c r="G243" t="s">
        <v>875</v>
      </c>
      <c r="H243" t="s">
        <v>149</v>
      </c>
      <c r="I243" t="s">
        <v>150</v>
      </c>
      <c r="J243" t="s">
        <v>151</v>
      </c>
      <c r="K243" t="s">
        <v>192</v>
      </c>
      <c r="L243" t="s">
        <v>193</v>
      </c>
      <c r="M243">
        <v>100235</v>
      </c>
      <c r="N243" t="s">
        <v>194</v>
      </c>
      <c r="O243" t="s">
        <v>109</v>
      </c>
      <c r="P243" t="s">
        <v>110</v>
      </c>
      <c r="Q243" t="s">
        <v>111</v>
      </c>
      <c r="R243" t="s">
        <v>180</v>
      </c>
    </row>
    <row r="244" spans="1:18" x14ac:dyDescent="0.25">
      <c r="A244">
        <v>34243</v>
      </c>
      <c r="B244" t="s">
        <v>876</v>
      </c>
      <c r="C244">
        <v>34243</v>
      </c>
      <c r="D244">
        <v>1832</v>
      </c>
      <c r="E244" t="s">
        <v>147</v>
      </c>
      <c r="F244">
        <v>20</v>
      </c>
      <c r="G244" t="s">
        <v>877</v>
      </c>
      <c r="H244" t="s">
        <v>149</v>
      </c>
      <c r="I244" t="s">
        <v>150</v>
      </c>
      <c r="J244" t="s">
        <v>151</v>
      </c>
      <c r="K244" t="s">
        <v>152</v>
      </c>
      <c r="L244" t="s">
        <v>153</v>
      </c>
      <c r="M244">
        <v>100033</v>
      </c>
      <c r="N244" t="s">
        <v>154</v>
      </c>
      <c r="O244" t="s">
        <v>155</v>
      </c>
      <c r="P244" t="s">
        <v>110</v>
      </c>
      <c r="Q244" t="s">
        <v>111</v>
      </c>
      <c r="R244" t="s">
        <v>156</v>
      </c>
    </row>
    <row r="245" spans="1:18" x14ac:dyDescent="0.25">
      <c r="A245">
        <v>34244</v>
      </c>
      <c r="B245" t="s">
        <v>878</v>
      </c>
      <c r="C245">
        <v>34244</v>
      </c>
      <c r="D245">
        <v>480</v>
      </c>
      <c r="E245" t="s">
        <v>147</v>
      </c>
      <c r="F245">
        <v>20</v>
      </c>
      <c r="G245" t="s">
        <v>879</v>
      </c>
      <c r="H245" t="s">
        <v>149</v>
      </c>
      <c r="I245" t="s">
        <v>216</v>
      </c>
      <c r="J245" t="s">
        <v>217</v>
      </c>
      <c r="K245" t="s">
        <v>218</v>
      </c>
      <c r="L245" t="s">
        <v>219</v>
      </c>
      <c r="M245">
        <v>100253</v>
      </c>
      <c r="N245" t="s">
        <v>220</v>
      </c>
      <c r="O245" t="s">
        <v>109</v>
      </c>
      <c r="P245" t="s">
        <v>110</v>
      </c>
      <c r="Q245" t="s">
        <v>111</v>
      </c>
      <c r="R245" t="s">
        <v>221</v>
      </c>
    </row>
    <row r="246" spans="1:18" x14ac:dyDescent="0.25">
      <c r="A246">
        <v>34245</v>
      </c>
      <c r="B246" t="s">
        <v>881</v>
      </c>
      <c r="C246">
        <v>34245</v>
      </c>
      <c r="D246">
        <v>2294</v>
      </c>
      <c r="E246" t="s">
        <v>119</v>
      </c>
      <c r="F246">
        <v>30</v>
      </c>
      <c r="G246" t="s">
        <v>882</v>
      </c>
      <c r="H246" t="s">
        <v>103</v>
      </c>
      <c r="I246" t="s">
        <v>104</v>
      </c>
      <c r="J246" t="s">
        <v>140</v>
      </c>
      <c r="K246" t="s">
        <v>141</v>
      </c>
      <c r="L246" t="s">
        <v>142</v>
      </c>
      <c r="M246">
        <v>100248</v>
      </c>
      <c r="N246" t="s">
        <v>198</v>
      </c>
      <c r="O246" t="s">
        <v>144</v>
      </c>
      <c r="P246" t="s">
        <v>110</v>
      </c>
      <c r="Q246" t="s">
        <v>111</v>
      </c>
      <c r="R246" t="s">
        <v>112</v>
      </c>
    </row>
    <row r="247" spans="1:18" x14ac:dyDescent="0.25">
      <c r="A247">
        <v>34246</v>
      </c>
      <c r="B247" t="s">
        <v>883</v>
      </c>
      <c r="C247">
        <v>34246</v>
      </c>
      <c r="D247">
        <v>1688</v>
      </c>
      <c r="E247" t="s">
        <v>147</v>
      </c>
      <c r="F247">
        <v>20</v>
      </c>
      <c r="G247" t="s">
        <v>884</v>
      </c>
      <c r="H247" t="s">
        <v>149</v>
      </c>
      <c r="I247" t="s">
        <v>274</v>
      </c>
      <c r="J247" t="s">
        <v>274</v>
      </c>
      <c r="K247" t="s">
        <v>275</v>
      </c>
      <c r="L247" t="s">
        <v>276</v>
      </c>
      <c r="M247">
        <v>100017</v>
      </c>
      <c r="N247" t="s">
        <v>277</v>
      </c>
      <c r="O247" t="s">
        <v>109</v>
      </c>
      <c r="P247" t="s">
        <v>110</v>
      </c>
      <c r="Q247" t="s">
        <v>111</v>
      </c>
      <c r="R247" t="s">
        <v>180</v>
      </c>
    </row>
    <row r="248" spans="1:18" x14ac:dyDescent="0.25">
      <c r="A248">
        <v>34247</v>
      </c>
      <c r="B248" t="s">
        <v>885</v>
      </c>
      <c r="C248">
        <v>34247</v>
      </c>
      <c r="D248">
        <v>1281</v>
      </c>
      <c r="E248" t="s">
        <v>147</v>
      </c>
      <c r="F248">
        <v>20</v>
      </c>
      <c r="G248" t="s">
        <v>886</v>
      </c>
      <c r="H248" t="s">
        <v>149</v>
      </c>
      <c r="I248" t="s">
        <v>150</v>
      </c>
      <c r="J248" t="s">
        <v>151</v>
      </c>
      <c r="K248" t="s">
        <v>192</v>
      </c>
      <c r="L248" t="s">
        <v>193</v>
      </c>
      <c r="M248">
        <v>100235</v>
      </c>
      <c r="N248" t="s">
        <v>194</v>
      </c>
      <c r="O248" t="s">
        <v>109</v>
      </c>
      <c r="P248" t="s">
        <v>110</v>
      </c>
      <c r="Q248" t="s">
        <v>132</v>
      </c>
      <c r="R248" t="s">
        <v>180</v>
      </c>
    </row>
    <row r="249" spans="1:18" x14ac:dyDescent="0.25">
      <c r="A249">
        <v>34248</v>
      </c>
      <c r="B249" t="s">
        <v>889</v>
      </c>
      <c r="C249">
        <v>34248</v>
      </c>
      <c r="D249">
        <v>657</v>
      </c>
      <c r="E249" t="s">
        <v>147</v>
      </c>
      <c r="F249">
        <v>20</v>
      </c>
      <c r="G249" t="s">
        <v>890</v>
      </c>
      <c r="H249" t="s">
        <v>149</v>
      </c>
      <c r="I249" t="s">
        <v>150</v>
      </c>
      <c r="J249" t="s">
        <v>151</v>
      </c>
      <c r="K249" t="s">
        <v>192</v>
      </c>
      <c r="L249" t="s">
        <v>193</v>
      </c>
      <c r="M249">
        <v>100235</v>
      </c>
      <c r="N249" t="s">
        <v>194</v>
      </c>
      <c r="O249" t="s">
        <v>109</v>
      </c>
      <c r="P249" t="s">
        <v>110</v>
      </c>
      <c r="Q249" t="s">
        <v>132</v>
      </c>
      <c r="R249" t="s">
        <v>180</v>
      </c>
    </row>
    <row r="250" spans="1:18" x14ac:dyDescent="0.25">
      <c r="A250">
        <v>34249</v>
      </c>
      <c r="B250" t="s">
        <v>891</v>
      </c>
      <c r="C250">
        <v>34249</v>
      </c>
      <c r="D250">
        <v>1048</v>
      </c>
      <c r="E250" t="s">
        <v>147</v>
      </c>
      <c r="F250">
        <v>20</v>
      </c>
      <c r="G250" t="s">
        <v>892</v>
      </c>
      <c r="H250" t="s">
        <v>149</v>
      </c>
      <c r="I250" t="s">
        <v>216</v>
      </c>
      <c r="J250" t="s">
        <v>217</v>
      </c>
      <c r="K250" t="s">
        <v>218</v>
      </c>
      <c r="L250" t="s">
        <v>219</v>
      </c>
      <c r="M250">
        <v>100253</v>
      </c>
      <c r="N250" t="s">
        <v>220</v>
      </c>
      <c r="O250" t="s">
        <v>109</v>
      </c>
      <c r="P250" t="s">
        <v>156</v>
      </c>
      <c r="Q250" t="s">
        <v>111</v>
      </c>
      <c r="R250" t="s">
        <v>221</v>
      </c>
    </row>
    <row r="251" spans="1:18" x14ac:dyDescent="0.25">
      <c r="A251">
        <v>34250</v>
      </c>
      <c r="B251" t="s">
        <v>895</v>
      </c>
      <c r="C251">
        <v>34250</v>
      </c>
      <c r="D251">
        <v>2250</v>
      </c>
      <c r="E251" t="s">
        <v>119</v>
      </c>
      <c r="F251">
        <v>30</v>
      </c>
      <c r="G251" t="s">
        <v>896</v>
      </c>
      <c r="H251" t="s">
        <v>103</v>
      </c>
      <c r="I251" t="s">
        <v>104</v>
      </c>
      <c r="J251" t="s">
        <v>259</v>
      </c>
      <c r="K251" t="s">
        <v>141</v>
      </c>
      <c r="L251" t="s">
        <v>142</v>
      </c>
      <c r="M251">
        <v>100257</v>
      </c>
      <c r="N251" t="s">
        <v>143</v>
      </c>
      <c r="O251" t="s">
        <v>144</v>
      </c>
      <c r="P251" t="s">
        <v>110</v>
      </c>
      <c r="Q251" t="s">
        <v>132</v>
      </c>
      <c r="R251" t="s">
        <v>112</v>
      </c>
    </row>
    <row r="252" spans="1:18" x14ac:dyDescent="0.25">
      <c r="A252">
        <v>34251</v>
      </c>
      <c r="B252" t="s">
        <v>897</v>
      </c>
      <c r="C252">
        <v>34251</v>
      </c>
      <c r="D252">
        <v>1961</v>
      </c>
      <c r="E252" t="s">
        <v>449</v>
      </c>
      <c r="F252">
        <v>20</v>
      </c>
      <c r="G252" t="s">
        <v>898</v>
      </c>
      <c r="H252" t="s">
        <v>121</v>
      </c>
      <c r="I252" t="s">
        <v>150</v>
      </c>
      <c r="J252" t="s">
        <v>175</v>
      </c>
      <c r="K252" t="s">
        <v>152</v>
      </c>
      <c r="L252" t="s">
        <v>153</v>
      </c>
      <c r="M252">
        <v>100219</v>
      </c>
      <c r="N252" t="s">
        <v>284</v>
      </c>
      <c r="O252" t="s">
        <v>179</v>
      </c>
      <c r="P252" t="s">
        <v>110</v>
      </c>
      <c r="Q252" t="s">
        <v>111</v>
      </c>
      <c r="R252" t="s">
        <v>156</v>
      </c>
    </row>
    <row r="253" spans="1:18" x14ac:dyDescent="0.25">
      <c r="A253">
        <v>34252</v>
      </c>
      <c r="B253" t="s">
        <v>899</v>
      </c>
      <c r="C253">
        <v>34252</v>
      </c>
      <c r="D253">
        <v>350</v>
      </c>
      <c r="E253" t="s">
        <v>162</v>
      </c>
      <c r="F253">
        <v>20</v>
      </c>
      <c r="G253" t="s">
        <v>900</v>
      </c>
      <c r="H253" t="s">
        <v>103</v>
      </c>
      <c r="I253" t="s">
        <v>104</v>
      </c>
      <c r="J253" t="s">
        <v>164</v>
      </c>
      <c r="K253" t="s">
        <v>165</v>
      </c>
      <c r="L253" t="s">
        <v>166</v>
      </c>
      <c r="M253">
        <v>100249</v>
      </c>
      <c r="N253" t="s">
        <v>167</v>
      </c>
      <c r="O253" t="s">
        <v>144</v>
      </c>
      <c r="P253" t="s">
        <v>110</v>
      </c>
      <c r="Q253" t="s">
        <v>132</v>
      </c>
      <c r="R253" t="s">
        <v>112</v>
      </c>
    </row>
    <row r="254" spans="1:18" x14ac:dyDescent="0.25">
      <c r="A254">
        <v>34253</v>
      </c>
      <c r="B254" t="s">
        <v>901</v>
      </c>
      <c r="C254">
        <v>34253</v>
      </c>
      <c r="D254">
        <v>1266</v>
      </c>
      <c r="E254" t="s">
        <v>119</v>
      </c>
      <c r="F254">
        <v>30</v>
      </c>
      <c r="G254" t="s">
        <v>902</v>
      </c>
      <c r="H254" t="s">
        <v>121</v>
      </c>
      <c r="I254" t="s">
        <v>150</v>
      </c>
      <c r="J254" t="s">
        <v>175</v>
      </c>
      <c r="K254" t="s">
        <v>152</v>
      </c>
      <c r="L254" t="s">
        <v>153</v>
      </c>
      <c r="M254">
        <v>100219</v>
      </c>
      <c r="N254" t="s">
        <v>284</v>
      </c>
      <c r="O254" t="s">
        <v>179</v>
      </c>
      <c r="P254" t="s">
        <v>156</v>
      </c>
      <c r="Q254" t="s">
        <v>132</v>
      </c>
      <c r="R254" t="s">
        <v>156</v>
      </c>
    </row>
    <row r="255" spans="1:18" x14ac:dyDescent="0.25">
      <c r="A255">
        <v>34254</v>
      </c>
      <c r="B255" t="s">
        <v>903</v>
      </c>
      <c r="C255">
        <v>34254</v>
      </c>
      <c r="D255">
        <v>444</v>
      </c>
      <c r="E255" t="s">
        <v>147</v>
      </c>
      <c r="F255">
        <v>20</v>
      </c>
      <c r="G255" t="s">
        <v>904</v>
      </c>
      <c r="H255" t="s">
        <v>121</v>
      </c>
      <c r="I255" t="s">
        <v>150</v>
      </c>
      <c r="J255" t="s">
        <v>175</v>
      </c>
      <c r="K255" t="s">
        <v>165</v>
      </c>
      <c r="L255" t="s">
        <v>166</v>
      </c>
      <c r="M255">
        <v>100004</v>
      </c>
      <c r="N255" t="s">
        <v>189</v>
      </c>
      <c r="O255" t="s">
        <v>179</v>
      </c>
      <c r="P255" t="s">
        <v>110</v>
      </c>
      <c r="Q255" t="s">
        <v>132</v>
      </c>
      <c r="R255" t="s">
        <v>156</v>
      </c>
    </row>
    <row r="256" spans="1:18" x14ac:dyDescent="0.25">
      <c r="A256">
        <v>34255</v>
      </c>
      <c r="B256" t="s">
        <v>905</v>
      </c>
      <c r="C256">
        <v>34255</v>
      </c>
      <c r="D256">
        <v>1651</v>
      </c>
      <c r="E256" t="s">
        <v>147</v>
      </c>
      <c r="F256">
        <v>20</v>
      </c>
      <c r="G256" t="s">
        <v>906</v>
      </c>
      <c r="H256" t="s">
        <v>149</v>
      </c>
      <c r="I256" t="s">
        <v>150</v>
      </c>
      <c r="J256" t="s">
        <v>151</v>
      </c>
      <c r="K256" t="s">
        <v>192</v>
      </c>
      <c r="L256" t="s">
        <v>193</v>
      </c>
      <c r="M256">
        <v>100235</v>
      </c>
      <c r="N256" t="s">
        <v>194</v>
      </c>
      <c r="O256" t="s">
        <v>109</v>
      </c>
      <c r="P256" t="s">
        <v>110</v>
      </c>
      <c r="Q256" t="s">
        <v>111</v>
      </c>
      <c r="R256" t="s">
        <v>180</v>
      </c>
    </row>
    <row r="257" spans="1:18" x14ac:dyDescent="0.25">
      <c r="A257">
        <v>34256</v>
      </c>
      <c r="B257" t="s">
        <v>910</v>
      </c>
      <c r="C257">
        <v>34256</v>
      </c>
      <c r="D257">
        <v>1096</v>
      </c>
      <c r="E257" t="s">
        <v>147</v>
      </c>
      <c r="F257">
        <v>20</v>
      </c>
      <c r="G257" t="s">
        <v>911</v>
      </c>
      <c r="H257" t="s">
        <v>149</v>
      </c>
      <c r="I257" t="s">
        <v>216</v>
      </c>
      <c r="J257" t="s">
        <v>217</v>
      </c>
      <c r="K257" t="s">
        <v>218</v>
      </c>
      <c r="L257" t="s">
        <v>219</v>
      </c>
      <c r="M257">
        <v>100253</v>
      </c>
      <c r="N257" t="s">
        <v>220</v>
      </c>
      <c r="O257" t="s">
        <v>109</v>
      </c>
      <c r="P257" t="s">
        <v>110</v>
      </c>
      <c r="Q257" t="s">
        <v>132</v>
      </c>
      <c r="R257" t="s">
        <v>221</v>
      </c>
    </row>
    <row r="258" spans="1:18" x14ac:dyDescent="0.25">
      <c r="A258">
        <v>34257</v>
      </c>
      <c r="B258" t="s">
        <v>912</v>
      </c>
      <c r="C258">
        <v>34257</v>
      </c>
      <c r="D258">
        <v>1196</v>
      </c>
      <c r="E258" t="s">
        <v>119</v>
      </c>
      <c r="F258">
        <v>30</v>
      </c>
      <c r="G258" t="s">
        <v>913</v>
      </c>
      <c r="H258" t="s">
        <v>103</v>
      </c>
      <c r="I258" t="s">
        <v>104</v>
      </c>
      <c r="J258" t="s">
        <v>164</v>
      </c>
      <c r="K258" t="s">
        <v>165</v>
      </c>
      <c r="L258" t="s">
        <v>166</v>
      </c>
      <c r="M258">
        <v>100249</v>
      </c>
      <c r="N258" t="s">
        <v>167</v>
      </c>
      <c r="O258" t="s">
        <v>144</v>
      </c>
      <c r="P258" t="s">
        <v>110</v>
      </c>
      <c r="Q258" t="s">
        <v>111</v>
      </c>
      <c r="R258" t="s">
        <v>112</v>
      </c>
    </row>
    <row r="259" spans="1:18" x14ac:dyDescent="0.25">
      <c r="A259">
        <v>34258</v>
      </c>
      <c r="B259" t="s">
        <v>914</v>
      </c>
      <c r="C259">
        <v>34258</v>
      </c>
      <c r="D259">
        <v>937</v>
      </c>
      <c r="E259" t="s">
        <v>101</v>
      </c>
      <c r="F259">
        <v>20</v>
      </c>
      <c r="G259" t="s">
        <v>915</v>
      </c>
      <c r="H259" t="s">
        <v>103</v>
      </c>
      <c r="I259" t="s">
        <v>104</v>
      </c>
      <c r="J259" t="s">
        <v>105</v>
      </c>
      <c r="K259" t="s">
        <v>206</v>
      </c>
      <c r="L259" t="s">
        <v>207</v>
      </c>
      <c r="M259">
        <v>100258</v>
      </c>
      <c r="N259" t="s">
        <v>108</v>
      </c>
      <c r="O259" t="s">
        <v>109</v>
      </c>
      <c r="P259" t="s">
        <v>110</v>
      </c>
      <c r="Q259" t="s">
        <v>111</v>
      </c>
      <c r="R259" t="s">
        <v>112</v>
      </c>
    </row>
    <row r="260" spans="1:18" x14ac:dyDescent="0.25">
      <c r="A260">
        <v>34259</v>
      </c>
      <c r="B260" t="s">
        <v>916</v>
      </c>
      <c r="C260">
        <v>34259</v>
      </c>
      <c r="D260">
        <v>930</v>
      </c>
      <c r="E260" t="s">
        <v>147</v>
      </c>
      <c r="F260">
        <v>20</v>
      </c>
      <c r="G260" t="s">
        <v>917</v>
      </c>
      <c r="H260" t="s">
        <v>149</v>
      </c>
      <c r="I260" t="s">
        <v>216</v>
      </c>
      <c r="J260" t="s">
        <v>217</v>
      </c>
      <c r="K260" t="s">
        <v>431</v>
      </c>
      <c r="L260" t="s">
        <v>432</v>
      </c>
      <c r="M260">
        <v>100253</v>
      </c>
      <c r="N260" t="s">
        <v>220</v>
      </c>
      <c r="O260" t="s">
        <v>109</v>
      </c>
      <c r="P260" t="s">
        <v>110</v>
      </c>
      <c r="Q260" t="s">
        <v>111</v>
      </c>
      <c r="R260" t="s">
        <v>221</v>
      </c>
    </row>
    <row r="261" spans="1:18" x14ac:dyDescent="0.25">
      <c r="A261">
        <v>34260</v>
      </c>
      <c r="B261" t="s">
        <v>921</v>
      </c>
      <c r="C261">
        <v>34260</v>
      </c>
      <c r="D261">
        <v>2418</v>
      </c>
      <c r="E261" t="s">
        <v>162</v>
      </c>
      <c r="F261">
        <v>20</v>
      </c>
      <c r="G261" t="s">
        <v>922</v>
      </c>
      <c r="H261" t="s">
        <v>103</v>
      </c>
      <c r="I261" t="s">
        <v>104</v>
      </c>
      <c r="J261" t="s">
        <v>164</v>
      </c>
      <c r="K261" t="s">
        <v>165</v>
      </c>
      <c r="L261" t="s">
        <v>166</v>
      </c>
      <c r="M261">
        <v>100249</v>
      </c>
      <c r="N261" t="s">
        <v>167</v>
      </c>
      <c r="O261" t="s">
        <v>144</v>
      </c>
      <c r="P261" t="s">
        <v>110</v>
      </c>
      <c r="Q261" t="s">
        <v>111</v>
      </c>
      <c r="R261" t="s">
        <v>112</v>
      </c>
    </row>
    <row r="262" spans="1:18" x14ac:dyDescent="0.25">
      <c r="A262">
        <v>34261</v>
      </c>
      <c r="B262" t="s">
        <v>923</v>
      </c>
      <c r="C262">
        <v>34261</v>
      </c>
      <c r="D262">
        <v>3862</v>
      </c>
      <c r="E262" t="s">
        <v>147</v>
      </c>
      <c r="F262">
        <v>20</v>
      </c>
      <c r="G262" t="s">
        <v>924</v>
      </c>
      <c r="H262" t="s">
        <v>121</v>
      </c>
      <c r="I262" t="s">
        <v>150</v>
      </c>
      <c r="J262" t="s">
        <v>175</v>
      </c>
      <c r="K262" t="s">
        <v>176</v>
      </c>
      <c r="L262" t="s">
        <v>177</v>
      </c>
      <c r="M262">
        <v>100031</v>
      </c>
      <c r="N262" t="s">
        <v>178</v>
      </c>
      <c r="O262" t="s">
        <v>179</v>
      </c>
      <c r="P262" t="s">
        <v>110</v>
      </c>
      <c r="Q262" t="s">
        <v>132</v>
      </c>
      <c r="R262" t="s">
        <v>180</v>
      </c>
    </row>
    <row r="263" spans="1:18" x14ac:dyDescent="0.25">
      <c r="A263">
        <v>34262</v>
      </c>
      <c r="B263" t="s">
        <v>925</v>
      </c>
      <c r="C263">
        <v>34262</v>
      </c>
      <c r="D263">
        <v>608</v>
      </c>
      <c r="E263" t="s">
        <v>147</v>
      </c>
      <c r="F263">
        <v>20</v>
      </c>
      <c r="G263" t="s">
        <v>926</v>
      </c>
      <c r="H263" t="s">
        <v>121</v>
      </c>
      <c r="I263" t="s">
        <v>150</v>
      </c>
      <c r="J263" t="s">
        <v>175</v>
      </c>
      <c r="K263" t="s">
        <v>176</v>
      </c>
      <c r="L263" t="s">
        <v>177</v>
      </c>
      <c r="M263">
        <v>100031</v>
      </c>
      <c r="N263" t="s">
        <v>178</v>
      </c>
      <c r="O263" t="s">
        <v>179</v>
      </c>
      <c r="P263" t="s">
        <v>110</v>
      </c>
      <c r="Q263" t="s">
        <v>132</v>
      </c>
      <c r="R263" t="s">
        <v>180</v>
      </c>
    </row>
    <row r="264" spans="1:18" x14ac:dyDescent="0.25">
      <c r="A264">
        <v>34263</v>
      </c>
      <c r="B264" t="s">
        <v>927</v>
      </c>
      <c r="C264">
        <v>34263</v>
      </c>
      <c r="D264">
        <v>459</v>
      </c>
      <c r="E264" t="s">
        <v>147</v>
      </c>
      <c r="F264">
        <v>20</v>
      </c>
      <c r="G264" t="s">
        <v>928</v>
      </c>
      <c r="H264" t="s">
        <v>149</v>
      </c>
      <c r="I264" t="s">
        <v>150</v>
      </c>
      <c r="J264" t="s">
        <v>274</v>
      </c>
      <c r="K264" t="s">
        <v>192</v>
      </c>
      <c r="L264" t="s">
        <v>193</v>
      </c>
      <c r="M264">
        <v>100235</v>
      </c>
      <c r="N264" t="s">
        <v>194</v>
      </c>
      <c r="O264" t="s">
        <v>109</v>
      </c>
      <c r="P264" t="s">
        <v>110</v>
      </c>
      <c r="Q264" t="s">
        <v>111</v>
      </c>
      <c r="R264" t="s">
        <v>180</v>
      </c>
    </row>
    <row r="265" spans="1:18" x14ac:dyDescent="0.25">
      <c r="A265">
        <v>34264</v>
      </c>
      <c r="B265" t="s">
        <v>929</v>
      </c>
      <c r="C265">
        <v>34264</v>
      </c>
      <c r="D265">
        <v>1690</v>
      </c>
      <c r="E265" t="s">
        <v>147</v>
      </c>
      <c r="F265">
        <v>20</v>
      </c>
      <c r="G265" t="s">
        <v>930</v>
      </c>
      <c r="H265" t="s">
        <v>149</v>
      </c>
      <c r="I265" t="s">
        <v>150</v>
      </c>
      <c r="J265" t="s">
        <v>151</v>
      </c>
      <c r="K265" t="s">
        <v>152</v>
      </c>
      <c r="L265" t="s">
        <v>153</v>
      </c>
      <c r="M265">
        <v>100235</v>
      </c>
      <c r="N265" t="s">
        <v>194</v>
      </c>
      <c r="O265" t="s">
        <v>109</v>
      </c>
      <c r="P265" t="s">
        <v>110</v>
      </c>
      <c r="Q265" t="s">
        <v>111</v>
      </c>
      <c r="R265" t="s">
        <v>180</v>
      </c>
    </row>
    <row r="266" spans="1:18" x14ac:dyDescent="0.25">
      <c r="A266">
        <v>34265</v>
      </c>
      <c r="B266" t="s">
        <v>931</v>
      </c>
      <c r="C266">
        <v>34265</v>
      </c>
      <c r="D266">
        <v>302</v>
      </c>
      <c r="E266" t="s">
        <v>147</v>
      </c>
      <c r="F266">
        <v>20</v>
      </c>
      <c r="G266" t="s">
        <v>932</v>
      </c>
      <c r="H266" t="s">
        <v>149</v>
      </c>
      <c r="I266" t="s">
        <v>150</v>
      </c>
      <c r="J266" t="s">
        <v>274</v>
      </c>
      <c r="K266" t="s">
        <v>192</v>
      </c>
      <c r="L266" t="s">
        <v>193</v>
      </c>
      <c r="M266">
        <v>100235</v>
      </c>
      <c r="N266" t="s">
        <v>194</v>
      </c>
      <c r="O266" t="s">
        <v>109</v>
      </c>
      <c r="P266" t="s">
        <v>110</v>
      </c>
      <c r="Q266" t="s">
        <v>111</v>
      </c>
      <c r="R266" t="s">
        <v>180</v>
      </c>
    </row>
    <row r="267" spans="1:18" x14ac:dyDescent="0.25">
      <c r="A267">
        <v>34266</v>
      </c>
      <c r="B267" t="s">
        <v>933</v>
      </c>
      <c r="C267">
        <v>34266</v>
      </c>
      <c r="D267">
        <v>910</v>
      </c>
      <c r="E267" t="s">
        <v>147</v>
      </c>
      <c r="F267">
        <v>20</v>
      </c>
      <c r="G267" t="s">
        <v>934</v>
      </c>
      <c r="H267" t="s">
        <v>149</v>
      </c>
      <c r="I267" t="s">
        <v>150</v>
      </c>
      <c r="J267" t="s">
        <v>151</v>
      </c>
      <c r="K267" t="s">
        <v>192</v>
      </c>
      <c r="L267" t="s">
        <v>193</v>
      </c>
      <c r="M267">
        <v>100235</v>
      </c>
      <c r="N267" t="s">
        <v>194</v>
      </c>
      <c r="O267" t="s">
        <v>109</v>
      </c>
      <c r="P267" t="s">
        <v>156</v>
      </c>
      <c r="Q267" t="s">
        <v>132</v>
      </c>
      <c r="R267" t="s">
        <v>180</v>
      </c>
    </row>
    <row r="268" spans="1:18" x14ac:dyDescent="0.25">
      <c r="A268">
        <v>34267</v>
      </c>
      <c r="B268" t="s">
        <v>935</v>
      </c>
      <c r="C268">
        <v>34267</v>
      </c>
      <c r="D268">
        <v>1413</v>
      </c>
      <c r="E268" t="s">
        <v>147</v>
      </c>
      <c r="F268">
        <v>20</v>
      </c>
      <c r="G268" t="s">
        <v>936</v>
      </c>
      <c r="H268" t="s">
        <v>121</v>
      </c>
      <c r="I268" t="s">
        <v>150</v>
      </c>
      <c r="J268" t="s">
        <v>175</v>
      </c>
      <c r="K268" t="s">
        <v>176</v>
      </c>
      <c r="L268" t="s">
        <v>177</v>
      </c>
      <c r="M268">
        <v>100031</v>
      </c>
      <c r="N268" t="s">
        <v>178</v>
      </c>
      <c r="O268" t="s">
        <v>179</v>
      </c>
      <c r="P268" t="s">
        <v>110</v>
      </c>
      <c r="Q268" t="s">
        <v>132</v>
      </c>
      <c r="R268" t="s">
        <v>180</v>
      </c>
    </row>
    <row r="269" spans="1:18" x14ac:dyDescent="0.25">
      <c r="A269">
        <v>34268</v>
      </c>
      <c r="B269" t="s">
        <v>937</v>
      </c>
      <c r="C269">
        <v>34268</v>
      </c>
      <c r="D269">
        <v>1735</v>
      </c>
      <c r="E269" t="s">
        <v>147</v>
      </c>
      <c r="F269">
        <v>20</v>
      </c>
      <c r="G269" t="s">
        <v>938</v>
      </c>
      <c r="H269" t="s">
        <v>121</v>
      </c>
      <c r="I269" t="s">
        <v>150</v>
      </c>
      <c r="J269" t="s">
        <v>175</v>
      </c>
      <c r="K269" t="s">
        <v>152</v>
      </c>
      <c r="L269" t="s">
        <v>153</v>
      </c>
      <c r="M269">
        <v>100219</v>
      </c>
      <c r="N269" t="s">
        <v>284</v>
      </c>
      <c r="O269" t="s">
        <v>179</v>
      </c>
      <c r="P269" t="s">
        <v>110</v>
      </c>
      <c r="Q269" t="s">
        <v>132</v>
      </c>
      <c r="R269" t="s">
        <v>156</v>
      </c>
    </row>
    <row r="270" spans="1:18" x14ac:dyDescent="0.25">
      <c r="A270">
        <v>34269</v>
      </c>
      <c r="B270" t="s">
        <v>939</v>
      </c>
      <c r="C270">
        <v>34269</v>
      </c>
      <c r="D270">
        <v>3278</v>
      </c>
      <c r="E270" t="s">
        <v>119</v>
      </c>
      <c r="F270">
        <v>30</v>
      </c>
      <c r="G270" t="s">
        <v>940</v>
      </c>
      <c r="H270" t="s">
        <v>103</v>
      </c>
      <c r="I270" t="s">
        <v>104</v>
      </c>
      <c r="J270" t="s">
        <v>259</v>
      </c>
      <c r="K270" t="s">
        <v>141</v>
      </c>
      <c r="L270" t="s">
        <v>142</v>
      </c>
      <c r="M270">
        <v>100257</v>
      </c>
      <c r="N270" t="s">
        <v>143</v>
      </c>
      <c r="O270" t="s">
        <v>144</v>
      </c>
      <c r="P270" t="s">
        <v>110</v>
      </c>
      <c r="Q270" t="s">
        <v>111</v>
      </c>
      <c r="R270" t="s">
        <v>112</v>
      </c>
    </row>
    <row r="271" spans="1:18" x14ac:dyDescent="0.25">
      <c r="A271">
        <v>34270</v>
      </c>
      <c r="B271" t="s">
        <v>941</v>
      </c>
      <c r="C271">
        <v>34270</v>
      </c>
      <c r="D271">
        <v>1325</v>
      </c>
      <c r="E271" t="s">
        <v>147</v>
      </c>
      <c r="F271">
        <v>12</v>
      </c>
      <c r="G271" t="s">
        <v>942</v>
      </c>
      <c r="H271" t="s">
        <v>149</v>
      </c>
      <c r="I271" t="s">
        <v>216</v>
      </c>
      <c r="J271" t="s">
        <v>217</v>
      </c>
      <c r="K271" t="s">
        <v>539</v>
      </c>
      <c r="L271" t="s">
        <v>540</v>
      </c>
      <c r="M271">
        <v>100253</v>
      </c>
      <c r="N271" t="s">
        <v>220</v>
      </c>
      <c r="O271" t="s">
        <v>109</v>
      </c>
      <c r="P271" t="s">
        <v>110</v>
      </c>
      <c r="Q271" t="s">
        <v>111</v>
      </c>
      <c r="R271" t="s">
        <v>221</v>
      </c>
    </row>
    <row r="272" spans="1:18" x14ac:dyDescent="0.25">
      <c r="A272">
        <v>34271</v>
      </c>
      <c r="B272" t="s">
        <v>945</v>
      </c>
      <c r="C272">
        <v>34271</v>
      </c>
      <c r="D272">
        <v>1936</v>
      </c>
      <c r="E272" t="s">
        <v>162</v>
      </c>
      <c r="F272">
        <v>20</v>
      </c>
      <c r="G272" t="s">
        <v>946</v>
      </c>
      <c r="H272" t="s">
        <v>103</v>
      </c>
      <c r="I272" t="s">
        <v>104</v>
      </c>
      <c r="J272" t="s">
        <v>259</v>
      </c>
      <c r="K272" t="s">
        <v>141</v>
      </c>
      <c r="L272" t="s">
        <v>142</v>
      </c>
      <c r="M272">
        <v>100257</v>
      </c>
      <c r="N272" t="s">
        <v>143</v>
      </c>
      <c r="O272" t="s">
        <v>144</v>
      </c>
      <c r="P272" t="s">
        <v>110</v>
      </c>
      <c r="Q272" t="s">
        <v>132</v>
      </c>
      <c r="R272" t="s">
        <v>112</v>
      </c>
    </row>
    <row r="273" spans="1:18" x14ac:dyDescent="0.25">
      <c r="A273">
        <v>34272</v>
      </c>
      <c r="B273" t="s">
        <v>947</v>
      </c>
      <c r="C273">
        <v>34272</v>
      </c>
      <c r="D273">
        <v>616</v>
      </c>
      <c r="E273" t="s">
        <v>147</v>
      </c>
      <c r="F273">
        <v>20</v>
      </c>
      <c r="G273" t="s">
        <v>948</v>
      </c>
      <c r="H273" t="s">
        <v>149</v>
      </c>
      <c r="I273" t="s">
        <v>274</v>
      </c>
      <c r="J273" t="s">
        <v>274</v>
      </c>
      <c r="K273" t="s">
        <v>275</v>
      </c>
      <c r="L273" t="s">
        <v>276</v>
      </c>
      <c r="M273">
        <v>100017</v>
      </c>
      <c r="N273" t="s">
        <v>277</v>
      </c>
      <c r="O273" t="s">
        <v>109</v>
      </c>
      <c r="P273" t="s">
        <v>110</v>
      </c>
      <c r="Q273" t="s">
        <v>132</v>
      </c>
      <c r="R273" t="s">
        <v>180</v>
      </c>
    </row>
    <row r="274" spans="1:18" x14ac:dyDescent="0.25">
      <c r="A274">
        <v>34273</v>
      </c>
      <c r="B274" t="s">
        <v>950</v>
      </c>
      <c r="C274">
        <v>34273</v>
      </c>
      <c r="D274">
        <v>420</v>
      </c>
      <c r="E274" t="s">
        <v>162</v>
      </c>
      <c r="F274">
        <v>20</v>
      </c>
      <c r="G274" t="s">
        <v>951</v>
      </c>
      <c r="H274" t="s">
        <v>103</v>
      </c>
      <c r="I274" t="s">
        <v>104</v>
      </c>
      <c r="J274" t="s">
        <v>259</v>
      </c>
      <c r="K274" t="s">
        <v>141</v>
      </c>
      <c r="L274" t="s">
        <v>142</v>
      </c>
      <c r="M274">
        <v>100257</v>
      </c>
      <c r="N274" t="s">
        <v>143</v>
      </c>
      <c r="O274" t="s">
        <v>144</v>
      </c>
      <c r="P274" t="s">
        <v>110</v>
      </c>
      <c r="Q274" t="s">
        <v>132</v>
      </c>
      <c r="R274" t="s">
        <v>112</v>
      </c>
    </row>
    <row r="275" spans="1:18" x14ac:dyDescent="0.25">
      <c r="A275">
        <v>34274</v>
      </c>
      <c r="B275" t="s">
        <v>952</v>
      </c>
      <c r="C275">
        <v>34274</v>
      </c>
      <c r="D275">
        <v>3857</v>
      </c>
      <c r="E275" t="s">
        <v>147</v>
      </c>
      <c r="F275">
        <v>20</v>
      </c>
      <c r="G275" t="s">
        <v>953</v>
      </c>
      <c r="H275" t="s">
        <v>149</v>
      </c>
      <c r="I275" t="s">
        <v>150</v>
      </c>
      <c r="J275" t="s">
        <v>151</v>
      </c>
      <c r="K275" t="s">
        <v>152</v>
      </c>
      <c r="L275" t="s">
        <v>153</v>
      </c>
      <c r="M275">
        <v>100235</v>
      </c>
      <c r="N275" t="s">
        <v>194</v>
      </c>
      <c r="O275" t="s">
        <v>109</v>
      </c>
      <c r="P275" t="s">
        <v>110</v>
      </c>
      <c r="Q275" t="s">
        <v>111</v>
      </c>
      <c r="R275" t="s">
        <v>180</v>
      </c>
    </row>
    <row r="276" spans="1:18" x14ac:dyDescent="0.25">
      <c r="A276">
        <v>34276</v>
      </c>
      <c r="B276" t="s">
        <v>955</v>
      </c>
      <c r="C276">
        <v>34276</v>
      </c>
      <c r="D276">
        <v>2181</v>
      </c>
      <c r="E276" t="s">
        <v>147</v>
      </c>
      <c r="F276">
        <v>20</v>
      </c>
      <c r="G276" t="s">
        <v>956</v>
      </c>
      <c r="H276" t="s">
        <v>149</v>
      </c>
      <c r="I276" t="s">
        <v>150</v>
      </c>
      <c r="J276" t="s">
        <v>151</v>
      </c>
      <c r="K276" t="s">
        <v>192</v>
      </c>
      <c r="L276" t="s">
        <v>193</v>
      </c>
      <c r="M276">
        <v>100235</v>
      </c>
      <c r="N276" t="s">
        <v>194</v>
      </c>
      <c r="O276" t="s">
        <v>109</v>
      </c>
      <c r="P276" t="s">
        <v>110</v>
      </c>
      <c r="Q276" t="s">
        <v>111</v>
      </c>
      <c r="R276" t="s">
        <v>180</v>
      </c>
    </row>
    <row r="277" spans="1:18" x14ac:dyDescent="0.25">
      <c r="A277">
        <v>34277</v>
      </c>
      <c r="B277" t="s">
        <v>959</v>
      </c>
      <c r="C277">
        <v>34277</v>
      </c>
      <c r="D277">
        <v>6894</v>
      </c>
      <c r="E277" t="s">
        <v>449</v>
      </c>
      <c r="F277">
        <v>20</v>
      </c>
      <c r="G277" t="s">
        <v>960</v>
      </c>
      <c r="H277" t="s">
        <v>121</v>
      </c>
      <c r="I277" t="s">
        <v>150</v>
      </c>
      <c r="J277" t="s">
        <v>175</v>
      </c>
      <c r="K277" t="s">
        <v>152</v>
      </c>
      <c r="L277" t="s">
        <v>153</v>
      </c>
      <c r="M277">
        <v>100219</v>
      </c>
      <c r="N277" t="s">
        <v>284</v>
      </c>
      <c r="O277" t="s">
        <v>179</v>
      </c>
      <c r="P277" t="s">
        <v>110</v>
      </c>
      <c r="Q277" t="s">
        <v>111</v>
      </c>
      <c r="R277" t="s">
        <v>156</v>
      </c>
    </row>
    <row r="278" spans="1:18" x14ac:dyDescent="0.25">
      <c r="A278">
        <v>34278</v>
      </c>
      <c r="B278" t="s">
        <v>961</v>
      </c>
      <c r="C278">
        <v>34278</v>
      </c>
      <c r="D278">
        <v>2550</v>
      </c>
      <c r="E278" t="s">
        <v>449</v>
      </c>
      <c r="F278">
        <v>20</v>
      </c>
      <c r="G278" t="s">
        <v>962</v>
      </c>
      <c r="H278" t="s">
        <v>121</v>
      </c>
      <c r="I278" t="s">
        <v>150</v>
      </c>
      <c r="J278" t="s">
        <v>175</v>
      </c>
      <c r="K278" t="s">
        <v>152</v>
      </c>
      <c r="L278" t="s">
        <v>153</v>
      </c>
      <c r="M278">
        <v>100219</v>
      </c>
      <c r="N278" t="s">
        <v>284</v>
      </c>
      <c r="O278" t="s">
        <v>179</v>
      </c>
      <c r="P278" t="s">
        <v>110</v>
      </c>
      <c r="Q278" t="s">
        <v>132</v>
      </c>
      <c r="R278" t="s">
        <v>156</v>
      </c>
    </row>
    <row r="279" spans="1:18" x14ac:dyDescent="0.25">
      <c r="A279">
        <v>34279</v>
      </c>
      <c r="B279" t="s">
        <v>963</v>
      </c>
      <c r="C279">
        <v>34279</v>
      </c>
      <c r="D279">
        <v>2830</v>
      </c>
      <c r="E279" t="s">
        <v>101</v>
      </c>
      <c r="F279">
        <v>20</v>
      </c>
      <c r="G279" t="s">
        <v>964</v>
      </c>
      <c r="H279" t="s">
        <v>103</v>
      </c>
      <c r="I279" t="s">
        <v>104</v>
      </c>
      <c r="J279" t="s">
        <v>105</v>
      </c>
      <c r="K279" t="s">
        <v>206</v>
      </c>
      <c r="L279" t="s">
        <v>207</v>
      </c>
      <c r="M279">
        <v>100258</v>
      </c>
      <c r="N279" t="s">
        <v>108</v>
      </c>
      <c r="O279" t="s">
        <v>144</v>
      </c>
      <c r="P279" t="s">
        <v>110</v>
      </c>
      <c r="Q279" t="s">
        <v>132</v>
      </c>
      <c r="R279" t="s">
        <v>112</v>
      </c>
    </row>
    <row r="280" spans="1:18" x14ac:dyDescent="0.25">
      <c r="A280">
        <v>34280</v>
      </c>
      <c r="B280" t="s">
        <v>965</v>
      </c>
      <c r="C280">
        <v>34280</v>
      </c>
      <c r="D280">
        <v>545</v>
      </c>
      <c r="E280" t="s">
        <v>147</v>
      </c>
      <c r="F280">
        <v>20</v>
      </c>
      <c r="G280" t="s">
        <v>966</v>
      </c>
      <c r="H280" t="s">
        <v>149</v>
      </c>
      <c r="I280" t="s">
        <v>274</v>
      </c>
      <c r="J280" t="s">
        <v>274</v>
      </c>
      <c r="K280" t="s">
        <v>275</v>
      </c>
      <c r="L280" t="s">
        <v>276</v>
      </c>
      <c r="M280">
        <v>100017</v>
      </c>
      <c r="N280" t="s">
        <v>277</v>
      </c>
      <c r="O280" t="s">
        <v>109</v>
      </c>
      <c r="P280" t="s">
        <v>110</v>
      </c>
      <c r="Q280" t="s">
        <v>132</v>
      </c>
      <c r="R280" t="s">
        <v>180</v>
      </c>
    </row>
    <row r="281" spans="1:18" x14ac:dyDescent="0.25">
      <c r="A281">
        <v>34281</v>
      </c>
      <c r="B281" t="s">
        <v>967</v>
      </c>
      <c r="C281">
        <v>34281</v>
      </c>
      <c r="D281">
        <v>2381</v>
      </c>
      <c r="E281" t="s">
        <v>147</v>
      </c>
      <c r="F281">
        <v>20</v>
      </c>
      <c r="G281" t="s">
        <v>968</v>
      </c>
      <c r="H281" t="s">
        <v>121</v>
      </c>
      <c r="I281" t="s">
        <v>150</v>
      </c>
      <c r="J281" t="s">
        <v>175</v>
      </c>
      <c r="K281" t="s">
        <v>176</v>
      </c>
      <c r="L281" t="s">
        <v>177</v>
      </c>
      <c r="M281">
        <v>100031</v>
      </c>
      <c r="N281" t="s">
        <v>178</v>
      </c>
      <c r="O281" t="s">
        <v>179</v>
      </c>
      <c r="P281" t="s">
        <v>110</v>
      </c>
      <c r="Q281" t="s">
        <v>111</v>
      </c>
      <c r="R281" t="s">
        <v>180</v>
      </c>
    </row>
    <row r="282" spans="1:18" x14ac:dyDescent="0.25">
      <c r="A282">
        <v>34282</v>
      </c>
      <c r="B282" t="s">
        <v>970</v>
      </c>
      <c r="C282">
        <v>34282</v>
      </c>
      <c r="D282">
        <v>1284</v>
      </c>
      <c r="E282" t="s">
        <v>147</v>
      </c>
      <c r="F282">
        <v>20</v>
      </c>
      <c r="G282" t="s">
        <v>971</v>
      </c>
      <c r="H282" t="s">
        <v>121</v>
      </c>
      <c r="I282" t="s">
        <v>150</v>
      </c>
      <c r="J282" t="s">
        <v>175</v>
      </c>
      <c r="K282" t="s">
        <v>176</v>
      </c>
      <c r="L282" t="s">
        <v>177</v>
      </c>
      <c r="M282">
        <v>100031</v>
      </c>
      <c r="N282" t="s">
        <v>178</v>
      </c>
      <c r="O282" t="s">
        <v>179</v>
      </c>
      <c r="P282" t="s">
        <v>110</v>
      </c>
      <c r="Q282" t="s">
        <v>132</v>
      </c>
      <c r="R282" t="s">
        <v>180</v>
      </c>
    </row>
    <row r="283" spans="1:18" x14ac:dyDescent="0.25">
      <c r="A283">
        <v>34283</v>
      </c>
      <c r="B283" t="s">
        <v>972</v>
      </c>
      <c r="C283">
        <v>34283</v>
      </c>
      <c r="D283">
        <v>1852</v>
      </c>
      <c r="E283" t="s">
        <v>449</v>
      </c>
      <c r="F283">
        <v>20</v>
      </c>
      <c r="G283" t="s">
        <v>973</v>
      </c>
      <c r="H283" t="s">
        <v>121</v>
      </c>
      <c r="I283" t="s">
        <v>150</v>
      </c>
      <c r="J283" t="s">
        <v>175</v>
      </c>
      <c r="K283" t="s">
        <v>152</v>
      </c>
      <c r="L283" t="s">
        <v>153</v>
      </c>
      <c r="M283">
        <v>100219</v>
      </c>
      <c r="N283" t="s">
        <v>284</v>
      </c>
      <c r="O283" t="s">
        <v>179</v>
      </c>
      <c r="P283" t="s">
        <v>110</v>
      </c>
      <c r="Q283" t="s">
        <v>132</v>
      </c>
      <c r="R283" t="s">
        <v>156</v>
      </c>
    </row>
    <row r="284" spans="1:18" x14ac:dyDescent="0.25">
      <c r="A284">
        <v>34284</v>
      </c>
      <c r="B284" t="s">
        <v>974</v>
      </c>
      <c r="C284">
        <v>34284</v>
      </c>
      <c r="D284">
        <v>4107</v>
      </c>
      <c r="E284" t="s">
        <v>119</v>
      </c>
      <c r="F284">
        <v>30</v>
      </c>
      <c r="G284" t="s">
        <v>975</v>
      </c>
      <c r="H284" t="s">
        <v>103</v>
      </c>
      <c r="I284" t="s">
        <v>104</v>
      </c>
      <c r="J284" t="s">
        <v>259</v>
      </c>
      <c r="K284" t="s">
        <v>141</v>
      </c>
      <c r="L284" t="s">
        <v>142</v>
      </c>
      <c r="M284">
        <v>100257</v>
      </c>
      <c r="N284" t="s">
        <v>143</v>
      </c>
      <c r="O284" t="s">
        <v>144</v>
      </c>
      <c r="P284" t="s">
        <v>110</v>
      </c>
      <c r="Q284" t="s">
        <v>111</v>
      </c>
      <c r="R284" t="s">
        <v>112</v>
      </c>
    </row>
    <row r="285" spans="1:18" x14ac:dyDescent="0.25">
      <c r="A285">
        <v>34285</v>
      </c>
      <c r="B285" t="s">
        <v>978</v>
      </c>
      <c r="C285">
        <v>34285</v>
      </c>
      <c r="D285">
        <v>1366</v>
      </c>
      <c r="E285" t="s">
        <v>119</v>
      </c>
      <c r="F285">
        <v>30</v>
      </c>
      <c r="G285" t="s">
        <v>979</v>
      </c>
      <c r="H285" t="s">
        <v>121</v>
      </c>
      <c r="I285" t="s">
        <v>105</v>
      </c>
      <c r="J285" t="s">
        <v>122</v>
      </c>
      <c r="K285" t="s">
        <v>123</v>
      </c>
      <c r="L285" t="s">
        <v>124</v>
      </c>
      <c r="M285">
        <v>100181</v>
      </c>
      <c r="N285" t="s">
        <v>125</v>
      </c>
      <c r="O285" t="s">
        <v>109</v>
      </c>
      <c r="P285" t="s">
        <v>110</v>
      </c>
      <c r="Q285" t="s">
        <v>132</v>
      </c>
      <c r="R285" t="s">
        <v>180</v>
      </c>
    </row>
    <row r="286" spans="1:18" x14ac:dyDescent="0.25">
      <c r="A286">
        <v>34286</v>
      </c>
      <c r="B286" t="s">
        <v>980</v>
      </c>
      <c r="C286">
        <v>34286</v>
      </c>
      <c r="D286">
        <v>2700</v>
      </c>
      <c r="E286" t="s">
        <v>449</v>
      </c>
      <c r="F286">
        <v>20</v>
      </c>
      <c r="G286" t="s">
        <v>981</v>
      </c>
      <c r="H286" t="s">
        <v>121</v>
      </c>
      <c r="I286" t="s">
        <v>150</v>
      </c>
      <c r="J286" t="s">
        <v>175</v>
      </c>
      <c r="K286" t="s">
        <v>152</v>
      </c>
      <c r="L286" t="s">
        <v>153</v>
      </c>
      <c r="M286">
        <v>100219</v>
      </c>
      <c r="N286" t="s">
        <v>284</v>
      </c>
      <c r="O286" t="s">
        <v>179</v>
      </c>
      <c r="P286" t="s">
        <v>110</v>
      </c>
      <c r="Q286" t="s">
        <v>132</v>
      </c>
      <c r="R286" t="s">
        <v>156</v>
      </c>
    </row>
    <row r="287" spans="1:18" x14ac:dyDescent="0.25">
      <c r="A287">
        <v>34287</v>
      </c>
      <c r="B287" t="s">
        <v>982</v>
      </c>
      <c r="C287">
        <v>34287</v>
      </c>
      <c r="D287">
        <v>981</v>
      </c>
      <c r="E287" t="s">
        <v>147</v>
      </c>
      <c r="F287">
        <v>20</v>
      </c>
      <c r="G287" t="s">
        <v>983</v>
      </c>
      <c r="H287" t="s">
        <v>121</v>
      </c>
      <c r="I287" t="s">
        <v>150</v>
      </c>
      <c r="J287" t="s">
        <v>175</v>
      </c>
      <c r="K287" t="s">
        <v>176</v>
      </c>
      <c r="L287" t="s">
        <v>177</v>
      </c>
      <c r="M287">
        <v>100031</v>
      </c>
      <c r="N287" t="s">
        <v>178</v>
      </c>
      <c r="O287" t="s">
        <v>179</v>
      </c>
      <c r="P287" t="s">
        <v>110</v>
      </c>
      <c r="Q287" t="s">
        <v>132</v>
      </c>
      <c r="R287" t="s">
        <v>180</v>
      </c>
    </row>
    <row r="288" spans="1:18" x14ac:dyDescent="0.25">
      <c r="A288">
        <v>34288</v>
      </c>
      <c r="B288" t="s">
        <v>984</v>
      </c>
      <c r="C288">
        <v>34288</v>
      </c>
      <c r="D288">
        <v>466</v>
      </c>
      <c r="E288" t="s">
        <v>147</v>
      </c>
      <c r="F288">
        <v>20</v>
      </c>
      <c r="G288" t="s">
        <v>985</v>
      </c>
      <c r="H288" t="s">
        <v>149</v>
      </c>
      <c r="I288" t="s">
        <v>274</v>
      </c>
      <c r="J288" t="s">
        <v>274</v>
      </c>
      <c r="K288" t="s">
        <v>275</v>
      </c>
      <c r="L288" t="s">
        <v>276</v>
      </c>
      <c r="M288">
        <v>100017</v>
      </c>
      <c r="N288" t="s">
        <v>277</v>
      </c>
      <c r="O288" t="s">
        <v>109</v>
      </c>
      <c r="P288" t="s">
        <v>110</v>
      </c>
      <c r="Q288" t="s">
        <v>132</v>
      </c>
      <c r="R288" t="s">
        <v>180</v>
      </c>
    </row>
    <row r="289" spans="1:18" x14ac:dyDescent="0.25">
      <c r="A289">
        <v>34289</v>
      </c>
      <c r="B289" t="s">
        <v>986</v>
      </c>
      <c r="C289">
        <v>34289</v>
      </c>
      <c r="D289">
        <v>1856</v>
      </c>
      <c r="E289" t="s">
        <v>119</v>
      </c>
      <c r="F289">
        <v>30</v>
      </c>
      <c r="G289" t="s">
        <v>987</v>
      </c>
      <c r="H289" t="s">
        <v>121</v>
      </c>
      <c r="I289" t="s">
        <v>105</v>
      </c>
      <c r="J289" t="s">
        <v>122</v>
      </c>
      <c r="K289" t="s">
        <v>106</v>
      </c>
      <c r="L289" t="s">
        <v>107</v>
      </c>
      <c r="M289">
        <v>100181</v>
      </c>
      <c r="N289" t="s">
        <v>125</v>
      </c>
      <c r="O289" t="s">
        <v>109</v>
      </c>
      <c r="P289" t="s">
        <v>110</v>
      </c>
      <c r="Q289" t="s">
        <v>132</v>
      </c>
      <c r="R289" t="s">
        <v>180</v>
      </c>
    </row>
    <row r="290" spans="1:18" x14ac:dyDescent="0.25">
      <c r="A290">
        <v>34290</v>
      </c>
      <c r="B290" t="s">
        <v>989</v>
      </c>
      <c r="C290">
        <v>34290</v>
      </c>
      <c r="D290">
        <v>223</v>
      </c>
      <c r="E290" t="s">
        <v>147</v>
      </c>
      <c r="F290">
        <v>20</v>
      </c>
      <c r="G290" t="s">
        <v>990</v>
      </c>
      <c r="H290" t="s">
        <v>149</v>
      </c>
      <c r="I290" t="s">
        <v>150</v>
      </c>
      <c r="J290" t="s">
        <v>151</v>
      </c>
      <c r="K290" t="s">
        <v>192</v>
      </c>
      <c r="L290" t="s">
        <v>193</v>
      </c>
      <c r="M290">
        <v>100235</v>
      </c>
      <c r="N290" t="s">
        <v>194</v>
      </c>
      <c r="O290" t="s">
        <v>109</v>
      </c>
      <c r="P290" t="s">
        <v>110</v>
      </c>
      <c r="Q290" t="s">
        <v>111</v>
      </c>
      <c r="R290" t="s">
        <v>180</v>
      </c>
    </row>
    <row r="291" spans="1:18" x14ac:dyDescent="0.25">
      <c r="A291">
        <v>34291</v>
      </c>
      <c r="B291" t="s">
        <v>991</v>
      </c>
      <c r="C291">
        <v>34291</v>
      </c>
      <c r="D291">
        <v>1593</v>
      </c>
      <c r="E291" t="s">
        <v>119</v>
      </c>
      <c r="F291">
        <v>30</v>
      </c>
      <c r="G291" t="s">
        <v>992</v>
      </c>
      <c r="H291" t="s">
        <v>103</v>
      </c>
      <c r="I291" t="s">
        <v>104</v>
      </c>
      <c r="J291" t="s">
        <v>259</v>
      </c>
      <c r="K291" t="s">
        <v>141</v>
      </c>
      <c r="L291" t="s">
        <v>142</v>
      </c>
      <c r="M291">
        <v>100257</v>
      </c>
      <c r="N291" t="s">
        <v>143</v>
      </c>
      <c r="O291" t="s">
        <v>144</v>
      </c>
      <c r="P291" t="s">
        <v>110</v>
      </c>
      <c r="Q291" t="s">
        <v>132</v>
      </c>
      <c r="R291" t="s">
        <v>112</v>
      </c>
    </row>
    <row r="292" spans="1:18" x14ac:dyDescent="0.25">
      <c r="A292">
        <v>34292</v>
      </c>
      <c r="B292" t="s">
        <v>993</v>
      </c>
      <c r="C292">
        <v>34292</v>
      </c>
      <c r="D292">
        <v>914</v>
      </c>
      <c r="E292" t="s">
        <v>119</v>
      </c>
      <c r="F292">
        <v>30</v>
      </c>
      <c r="G292" t="s">
        <v>994</v>
      </c>
      <c r="H292" t="s">
        <v>121</v>
      </c>
      <c r="I292" t="s">
        <v>150</v>
      </c>
      <c r="J292" t="s">
        <v>175</v>
      </c>
      <c r="K292" t="s">
        <v>165</v>
      </c>
      <c r="L292" t="s">
        <v>166</v>
      </c>
      <c r="M292">
        <v>100004</v>
      </c>
      <c r="N292" t="s">
        <v>189</v>
      </c>
      <c r="O292" t="s">
        <v>179</v>
      </c>
      <c r="P292" t="s">
        <v>110</v>
      </c>
      <c r="Q292" t="s">
        <v>111</v>
      </c>
      <c r="R292" t="s">
        <v>156</v>
      </c>
    </row>
    <row r="293" spans="1:18" x14ac:dyDescent="0.25">
      <c r="A293">
        <v>34293</v>
      </c>
      <c r="B293" t="s">
        <v>995</v>
      </c>
      <c r="C293">
        <v>34293</v>
      </c>
      <c r="D293">
        <v>9007</v>
      </c>
      <c r="E293" t="s">
        <v>119</v>
      </c>
      <c r="F293">
        <v>30</v>
      </c>
      <c r="G293" t="s">
        <v>996</v>
      </c>
      <c r="H293" t="s">
        <v>103</v>
      </c>
      <c r="I293" t="s">
        <v>104</v>
      </c>
      <c r="J293" t="s">
        <v>259</v>
      </c>
      <c r="K293" t="s">
        <v>141</v>
      </c>
      <c r="L293" t="s">
        <v>142</v>
      </c>
      <c r="M293">
        <v>100256</v>
      </c>
      <c r="N293" t="s">
        <v>311</v>
      </c>
      <c r="O293" t="s">
        <v>109</v>
      </c>
      <c r="P293" t="s">
        <v>110</v>
      </c>
      <c r="Q293" t="s">
        <v>111</v>
      </c>
      <c r="R293" t="s">
        <v>156</v>
      </c>
    </row>
    <row r="294" spans="1:18" x14ac:dyDescent="0.25">
      <c r="A294">
        <v>34294</v>
      </c>
      <c r="B294" t="s">
        <v>997</v>
      </c>
      <c r="C294">
        <v>34294</v>
      </c>
      <c r="D294">
        <v>597</v>
      </c>
      <c r="E294" t="s">
        <v>147</v>
      </c>
      <c r="F294">
        <v>20</v>
      </c>
      <c r="G294" t="s">
        <v>998</v>
      </c>
      <c r="H294" t="s">
        <v>149</v>
      </c>
      <c r="I294" t="s">
        <v>274</v>
      </c>
      <c r="J294" t="s">
        <v>274</v>
      </c>
      <c r="K294" t="s">
        <v>275</v>
      </c>
      <c r="L294" t="s">
        <v>276</v>
      </c>
      <c r="M294">
        <v>100017</v>
      </c>
      <c r="N294" t="s">
        <v>277</v>
      </c>
      <c r="O294" t="s">
        <v>109</v>
      </c>
      <c r="P294" t="s">
        <v>110</v>
      </c>
      <c r="Q294" t="s">
        <v>132</v>
      </c>
      <c r="R294" t="s">
        <v>180</v>
      </c>
    </row>
    <row r="295" spans="1:18" x14ac:dyDescent="0.25">
      <c r="A295">
        <v>34295</v>
      </c>
      <c r="B295" t="s">
        <v>999</v>
      </c>
      <c r="C295">
        <v>34295</v>
      </c>
      <c r="D295">
        <v>367</v>
      </c>
      <c r="E295" t="s">
        <v>147</v>
      </c>
      <c r="F295">
        <v>20</v>
      </c>
      <c r="G295" t="s">
        <v>1000</v>
      </c>
      <c r="H295" t="s">
        <v>149</v>
      </c>
      <c r="I295" t="s">
        <v>216</v>
      </c>
      <c r="J295" t="s">
        <v>217</v>
      </c>
      <c r="K295" t="s">
        <v>431</v>
      </c>
      <c r="L295" t="s">
        <v>432</v>
      </c>
      <c r="M295">
        <v>100253</v>
      </c>
      <c r="N295" t="s">
        <v>220</v>
      </c>
      <c r="O295" t="s">
        <v>109</v>
      </c>
      <c r="P295" t="s">
        <v>110</v>
      </c>
      <c r="Q295" t="s">
        <v>111</v>
      </c>
      <c r="R295" t="s">
        <v>221</v>
      </c>
    </row>
    <row r="296" spans="1:18" x14ac:dyDescent="0.25">
      <c r="A296">
        <v>34296</v>
      </c>
      <c r="B296" t="s">
        <v>1002</v>
      </c>
      <c r="C296">
        <v>34296</v>
      </c>
      <c r="D296">
        <v>630</v>
      </c>
      <c r="E296" t="s">
        <v>147</v>
      </c>
      <c r="F296">
        <v>20</v>
      </c>
      <c r="G296" t="s">
        <v>1003</v>
      </c>
      <c r="H296" t="s">
        <v>149</v>
      </c>
      <c r="I296" t="s">
        <v>274</v>
      </c>
      <c r="J296" t="s">
        <v>274</v>
      </c>
      <c r="K296" t="s">
        <v>275</v>
      </c>
      <c r="L296" t="s">
        <v>276</v>
      </c>
      <c r="M296">
        <v>100017</v>
      </c>
      <c r="N296" t="s">
        <v>277</v>
      </c>
      <c r="O296" t="s">
        <v>109</v>
      </c>
      <c r="P296" t="s">
        <v>110</v>
      </c>
      <c r="Q296" t="s">
        <v>111</v>
      </c>
      <c r="R296" t="s">
        <v>180</v>
      </c>
    </row>
    <row r="297" spans="1:18" x14ac:dyDescent="0.25">
      <c r="A297">
        <v>34297</v>
      </c>
      <c r="B297" t="s">
        <v>1004</v>
      </c>
      <c r="C297">
        <v>34297</v>
      </c>
      <c r="D297">
        <v>1280</v>
      </c>
      <c r="E297" t="s">
        <v>147</v>
      </c>
      <c r="F297">
        <v>20</v>
      </c>
      <c r="G297" t="s">
        <v>1005</v>
      </c>
      <c r="H297" t="s">
        <v>149</v>
      </c>
      <c r="I297" t="s">
        <v>150</v>
      </c>
      <c r="J297" t="s">
        <v>151</v>
      </c>
      <c r="K297" t="s">
        <v>152</v>
      </c>
      <c r="L297" t="s">
        <v>153</v>
      </c>
      <c r="M297">
        <v>100235</v>
      </c>
      <c r="N297" t="s">
        <v>194</v>
      </c>
      <c r="O297" t="s">
        <v>109</v>
      </c>
      <c r="P297" t="s">
        <v>110</v>
      </c>
      <c r="Q297" t="s">
        <v>111</v>
      </c>
      <c r="R297" t="s">
        <v>180</v>
      </c>
    </row>
    <row r="298" spans="1:18" x14ac:dyDescent="0.25">
      <c r="A298">
        <v>34298</v>
      </c>
      <c r="B298" t="s">
        <v>1006</v>
      </c>
      <c r="C298">
        <v>34298</v>
      </c>
      <c r="D298">
        <v>1313</v>
      </c>
      <c r="E298" t="s">
        <v>101</v>
      </c>
      <c r="F298">
        <v>20</v>
      </c>
      <c r="G298" t="s">
        <v>1007</v>
      </c>
      <c r="H298" t="s">
        <v>103</v>
      </c>
      <c r="I298" t="s">
        <v>105</v>
      </c>
      <c r="J298" t="s">
        <v>105</v>
      </c>
      <c r="K298" t="s">
        <v>241</v>
      </c>
      <c r="L298" t="s">
        <v>242</v>
      </c>
      <c r="M298">
        <v>100002</v>
      </c>
      <c r="N298" t="s">
        <v>171</v>
      </c>
      <c r="O298" t="s">
        <v>109</v>
      </c>
      <c r="P298" t="s">
        <v>110</v>
      </c>
      <c r="Q298" t="s">
        <v>132</v>
      </c>
      <c r="R298" t="s">
        <v>156</v>
      </c>
    </row>
    <row r="299" spans="1:18" x14ac:dyDescent="0.25">
      <c r="A299">
        <v>34299</v>
      </c>
      <c r="B299" t="s">
        <v>1011</v>
      </c>
      <c r="C299">
        <v>34299</v>
      </c>
      <c r="D299">
        <v>2745</v>
      </c>
      <c r="E299" t="s">
        <v>101</v>
      </c>
      <c r="F299">
        <v>20</v>
      </c>
      <c r="G299" t="s">
        <v>1012</v>
      </c>
      <c r="H299" t="s">
        <v>103</v>
      </c>
      <c r="I299" t="s">
        <v>105</v>
      </c>
      <c r="J299" t="s">
        <v>105</v>
      </c>
      <c r="K299" t="s">
        <v>576</v>
      </c>
      <c r="L299" t="s">
        <v>577</v>
      </c>
      <c r="M299">
        <v>100002</v>
      </c>
      <c r="N299" t="s">
        <v>171</v>
      </c>
      <c r="O299" t="s">
        <v>109</v>
      </c>
      <c r="P299" t="s">
        <v>110</v>
      </c>
      <c r="Q299" t="s">
        <v>111</v>
      </c>
      <c r="R299" t="s">
        <v>156</v>
      </c>
    </row>
    <row r="300" spans="1:18" x14ac:dyDescent="0.25">
      <c r="A300">
        <v>34300</v>
      </c>
      <c r="B300" t="s">
        <v>1015</v>
      </c>
      <c r="C300">
        <v>34300</v>
      </c>
      <c r="D300">
        <v>4097</v>
      </c>
      <c r="E300" t="s">
        <v>101</v>
      </c>
      <c r="F300">
        <v>20</v>
      </c>
      <c r="G300" t="s">
        <v>1016</v>
      </c>
      <c r="H300" t="s">
        <v>103</v>
      </c>
      <c r="I300" t="s">
        <v>105</v>
      </c>
      <c r="J300" t="s">
        <v>105</v>
      </c>
      <c r="K300" t="s">
        <v>241</v>
      </c>
      <c r="L300" t="s">
        <v>242</v>
      </c>
      <c r="M300">
        <v>100002</v>
      </c>
      <c r="N300" t="s">
        <v>171</v>
      </c>
      <c r="O300" t="s">
        <v>109</v>
      </c>
      <c r="P300" t="s">
        <v>110</v>
      </c>
      <c r="Q300" t="s">
        <v>111</v>
      </c>
      <c r="R300" t="s">
        <v>156</v>
      </c>
    </row>
    <row r="301" spans="1:18" x14ac:dyDescent="0.25">
      <c r="A301">
        <v>34301</v>
      </c>
      <c r="B301" t="s">
        <v>1020</v>
      </c>
      <c r="C301">
        <v>34301</v>
      </c>
      <c r="D301">
        <v>4181</v>
      </c>
      <c r="E301" t="s">
        <v>1020</v>
      </c>
      <c r="F301">
        <v>11</v>
      </c>
      <c r="G301" t="s">
        <v>1021</v>
      </c>
      <c r="H301" t="s">
        <v>121</v>
      </c>
      <c r="I301" t="s">
        <v>227</v>
      </c>
      <c r="J301" t="s">
        <v>122</v>
      </c>
      <c r="K301" t="s">
        <v>1022</v>
      </c>
      <c r="L301" t="s">
        <v>1023</v>
      </c>
      <c r="M301">
        <v>100259</v>
      </c>
      <c r="N301" t="s">
        <v>230</v>
      </c>
      <c r="O301" t="s">
        <v>109</v>
      </c>
      <c r="P301" t="s">
        <v>110</v>
      </c>
      <c r="Q301" t="s">
        <v>132</v>
      </c>
      <c r="R301" t="s">
        <v>221</v>
      </c>
    </row>
    <row r="302" spans="1:18" x14ac:dyDescent="0.25">
      <c r="A302">
        <v>34302</v>
      </c>
      <c r="B302" t="s">
        <v>1027</v>
      </c>
      <c r="C302">
        <v>34302</v>
      </c>
      <c r="D302">
        <v>2101</v>
      </c>
      <c r="E302" t="s">
        <v>119</v>
      </c>
      <c r="F302">
        <v>30</v>
      </c>
      <c r="G302" t="s">
        <v>1028</v>
      </c>
      <c r="H302" t="s">
        <v>103</v>
      </c>
      <c r="I302" t="s">
        <v>104</v>
      </c>
      <c r="J302" t="s">
        <v>140</v>
      </c>
      <c r="K302" t="s">
        <v>141</v>
      </c>
      <c r="L302" t="s">
        <v>142</v>
      </c>
      <c r="M302">
        <v>100257</v>
      </c>
      <c r="N302" t="s">
        <v>143</v>
      </c>
      <c r="O302" t="s">
        <v>144</v>
      </c>
      <c r="P302" t="s">
        <v>110</v>
      </c>
      <c r="Q302" t="s">
        <v>111</v>
      </c>
      <c r="R302" t="s">
        <v>112</v>
      </c>
    </row>
    <row r="303" spans="1:18" x14ac:dyDescent="0.25">
      <c r="A303">
        <v>34303</v>
      </c>
      <c r="B303" t="s">
        <v>1029</v>
      </c>
      <c r="C303">
        <v>34303</v>
      </c>
      <c r="D303">
        <v>2037</v>
      </c>
      <c r="E303" t="s">
        <v>119</v>
      </c>
      <c r="F303">
        <v>30</v>
      </c>
      <c r="G303" t="s">
        <v>1030</v>
      </c>
      <c r="H303" t="s">
        <v>121</v>
      </c>
      <c r="I303" t="s">
        <v>150</v>
      </c>
      <c r="J303" t="s">
        <v>175</v>
      </c>
      <c r="K303" t="s">
        <v>152</v>
      </c>
      <c r="L303" t="s">
        <v>153</v>
      </c>
      <c r="M303">
        <v>100219</v>
      </c>
      <c r="N303" t="s">
        <v>284</v>
      </c>
      <c r="O303" t="s">
        <v>179</v>
      </c>
      <c r="P303" t="s">
        <v>110</v>
      </c>
      <c r="Q303" t="s">
        <v>111</v>
      </c>
      <c r="R303" t="s">
        <v>156</v>
      </c>
    </row>
    <row r="304" spans="1:18" x14ac:dyDescent="0.25">
      <c r="A304">
        <v>34304</v>
      </c>
      <c r="B304" t="s">
        <v>1031</v>
      </c>
      <c r="C304">
        <v>34304</v>
      </c>
      <c r="D304">
        <v>1224</v>
      </c>
      <c r="E304" t="s">
        <v>449</v>
      </c>
      <c r="F304">
        <v>20</v>
      </c>
      <c r="G304" t="s">
        <v>1032</v>
      </c>
      <c r="H304" t="s">
        <v>121</v>
      </c>
      <c r="I304" t="s">
        <v>150</v>
      </c>
      <c r="J304" t="s">
        <v>175</v>
      </c>
      <c r="K304" t="s">
        <v>152</v>
      </c>
      <c r="L304" t="s">
        <v>153</v>
      </c>
      <c r="M304">
        <v>100219</v>
      </c>
      <c r="N304" t="s">
        <v>284</v>
      </c>
      <c r="O304" t="s">
        <v>179</v>
      </c>
      <c r="P304" t="s">
        <v>110</v>
      </c>
      <c r="Q304" t="s">
        <v>132</v>
      </c>
      <c r="R304" t="s">
        <v>156</v>
      </c>
    </row>
    <row r="305" spans="1:18" x14ac:dyDescent="0.25">
      <c r="A305">
        <v>34305</v>
      </c>
      <c r="B305" t="s">
        <v>1033</v>
      </c>
      <c r="C305">
        <v>34305</v>
      </c>
      <c r="D305">
        <v>4045</v>
      </c>
      <c r="E305" t="s">
        <v>119</v>
      </c>
      <c r="F305">
        <v>30</v>
      </c>
      <c r="G305" t="s">
        <v>1034</v>
      </c>
      <c r="H305" t="s">
        <v>103</v>
      </c>
      <c r="I305" t="s">
        <v>104</v>
      </c>
      <c r="J305" t="s">
        <v>259</v>
      </c>
      <c r="K305" t="s">
        <v>141</v>
      </c>
      <c r="L305" t="s">
        <v>142</v>
      </c>
      <c r="M305">
        <v>100256</v>
      </c>
      <c r="N305" t="s">
        <v>311</v>
      </c>
      <c r="O305" t="s">
        <v>109</v>
      </c>
      <c r="P305" t="s">
        <v>110</v>
      </c>
      <c r="Q305" t="s">
        <v>132</v>
      </c>
      <c r="R305" t="s">
        <v>156</v>
      </c>
    </row>
    <row r="306" spans="1:18" x14ac:dyDescent="0.25">
      <c r="A306">
        <v>34306</v>
      </c>
      <c r="B306" t="s">
        <v>1035</v>
      </c>
      <c r="C306">
        <v>34306</v>
      </c>
      <c r="D306">
        <v>1111</v>
      </c>
      <c r="E306" t="s">
        <v>449</v>
      </c>
      <c r="F306">
        <v>20</v>
      </c>
      <c r="G306" t="s">
        <v>1036</v>
      </c>
      <c r="H306" t="s">
        <v>121</v>
      </c>
      <c r="I306" t="s">
        <v>150</v>
      </c>
      <c r="J306" t="s">
        <v>175</v>
      </c>
      <c r="K306" t="s">
        <v>152</v>
      </c>
      <c r="L306" t="s">
        <v>153</v>
      </c>
      <c r="M306">
        <v>100219</v>
      </c>
      <c r="N306" t="s">
        <v>284</v>
      </c>
      <c r="O306" t="s">
        <v>179</v>
      </c>
      <c r="P306" t="s">
        <v>110</v>
      </c>
      <c r="Q306" t="s">
        <v>132</v>
      </c>
      <c r="R306" t="s">
        <v>156</v>
      </c>
    </row>
    <row r="307" spans="1:18" x14ac:dyDescent="0.25">
      <c r="A307">
        <v>34307</v>
      </c>
      <c r="B307" t="s">
        <v>1037</v>
      </c>
      <c r="C307">
        <v>34307</v>
      </c>
      <c r="D307">
        <v>646</v>
      </c>
      <c r="E307" t="s">
        <v>147</v>
      </c>
      <c r="F307">
        <v>20</v>
      </c>
      <c r="G307" t="s">
        <v>1038</v>
      </c>
      <c r="H307" t="s">
        <v>149</v>
      </c>
      <c r="I307" t="s">
        <v>216</v>
      </c>
      <c r="J307" t="s">
        <v>217</v>
      </c>
      <c r="K307" t="s">
        <v>218</v>
      </c>
      <c r="L307" t="s">
        <v>219</v>
      </c>
      <c r="M307">
        <v>100253</v>
      </c>
      <c r="N307" t="s">
        <v>220</v>
      </c>
      <c r="O307" t="s">
        <v>109</v>
      </c>
      <c r="P307" t="s">
        <v>110</v>
      </c>
      <c r="Q307" t="s">
        <v>111</v>
      </c>
      <c r="R307" t="s">
        <v>221</v>
      </c>
    </row>
    <row r="308" spans="1:18" x14ac:dyDescent="0.25">
      <c r="A308">
        <v>34308</v>
      </c>
      <c r="B308" t="s">
        <v>1039</v>
      </c>
      <c r="C308">
        <v>34308</v>
      </c>
      <c r="D308">
        <v>1463</v>
      </c>
      <c r="E308" t="s">
        <v>162</v>
      </c>
      <c r="F308">
        <v>20</v>
      </c>
      <c r="G308" t="s">
        <v>1040</v>
      </c>
      <c r="H308" t="s">
        <v>103</v>
      </c>
      <c r="I308" t="s">
        <v>104</v>
      </c>
      <c r="J308" t="s">
        <v>164</v>
      </c>
      <c r="K308" t="s">
        <v>165</v>
      </c>
      <c r="L308" t="s">
        <v>166</v>
      </c>
      <c r="M308">
        <v>100249</v>
      </c>
      <c r="N308" t="s">
        <v>167</v>
      </c>
      <c r="O308" t="s">
        <v>144</v>
      </c>
      <c r="P308" t="s">
        <v>110</v>
      </c>
      <c r="Q308" t="s">
        <v>132</v>
      </c>
      <c r="R308" t="s">
        <v>112</v>
      </c>
    </row>
    <row r="309" spans="1:18" x14ac:dyDescent="0.25">
      <c r="A309">
        <v>34309</v>
      </c>
      <c r="B309" t="s">
        <v>1041</v>
      </c>
      <c r="C309">
        <v>34309</v>
      </c>
      <c r="D309">
        <v>1017</v>
      </c>
      <c r="E309" t="s">
        <v>147</v>
      </c>
      <c r="F309">
        <v>20</v>
      </c>
      <c r="G309" t="s">
        <v>1042</v>
      </c>
      <c r="H309" t="s">
        <v>149</v>
      </c>
      <c r="I309" t="s">
        <v>150</v>
      </c>
      <c r="J309" t="s">
        <v>151</v>
      </c>
      <c r="K309" t="s">
        <v>192</v>
      </c>
      <c r="L309" t="s">
        <v>193</v>
      </c>
      <c r="M309">
        <v>100235</v>
      </c>
      <c r="N309" t="s">
        <v>194</v>
      </c>
      <c r="O309" t="s">
        <v>109</v>
      </c>
      <c r="P309" t="s">
        <v>110</v>
      </c>
      <c r="Q309" t="s">
        <v>111</v>
      </c>
      <c r="R309" t="s">
        <v>180</v>
      </c>
    </row>
    <row r="310" spans="1:18" x14ac:dyDescent="0.25">
      <c r="A310">
        <v>34310</v>
      </c>
      <c r="B310" t="s">
        <v>1045</v>
      </c>
      <c r="C310">
        <v>34310</v>
      </c>
      <c r="D310">
        <v>1367</v>
      </c>
      <c r="E310" t="s">
        <v>101</v>
      </c>
      <c r="F310">
        <v>20</v>
      </c>
      <c r="G310" t="s">
        <v>1046</v>
      </c>
      <c r="H310" t="s">
        <v>103</v>
      </c>
      <c r="I310" t="s">
        <v>104</v>
      </c>
      <c r="J310" t="s">
        <v>105</v>
      </c>
      <c r="K310" t="s">
        <v>206</v>
      </c>
      <c r="L310" t="s">
        <v>207</v>
      </c>
      <c r="M310">
        <v>100258</v>
      </c>
      <c r="N310" t="s">
        <v>108</v>
      </c>
      <c r="O310" t="s">
        <v>144</v>
      </c>
      <c r="P310" t="s">
        <v>110</v>
      </c>
      <c r="Q310" t="s">
        <v>132</v>
      </c>
      <c r="R310" t="s">
        <v>112</v>
      </c>
    </row>
    <row r="311" spans="1:18" x14ac:dyDescent="0.25">
      <c r="A311">
        <v>34311</v>
      </c>
      <c r="B311" t="s">
        <v>1047</v>
      </c>
      <c r="C311">
        <v>34311</v>
      </c>
      <c r="D311">
        <v>1610</v>
      </c>
      <c r="E311" t="s">
        <v>101</v>
      </c>
      <c r="F311">
        <v>20</v>
      </c>
      <c r="G311" t="s">
        <v>1048</v>
      </c>
      <c r="H311" t="s">
        <v>103</v>
      </c>
      <c r="I311" t="s">
        <v>105</v>
      </c>
      <c r="J311" t="s">
        <v>122</v>
      </c>
      <c r="K311" t="s">
        <v>106</v>
      </c>
      <c r="L311" t="s">
        <v>107</v>
      </c>
      <c r="M311">
        <v>100181</v>
      </c>
      <c r="N311" t="s">
        <v>125</v>
      </c>
      <c r="O311" t="s">
        <v>109</v>
      </c>
      <c r="P311" t="s">
        <v>110</v>
      </c>
      <c r="Q311" t="s">
        <v>132</v>
      </c>
      <c r="R311" t="s">
        <v>180</v>
      </c>
    </row>
    <row r="312" spans="1:18" x14ac:dyDescent="0.25">
      <c r="A312">
        <v>34312</v>
      </c>
      <c r="B312" t="s">
        <v>1050</v>
      </c>
      <c r="C312">
        <v>34312</v>
      </c>
      <c r="D312">
        <v>3088</v>
      </c>
      <c r="E312" t="s">
        <v>162</v>
      </c>
      <c r="F312">
        <v>20</v>
      </c>
      <c r="G312" t="s">
        <v>1051</v>
      </c>
      <c r="H312" t="s">
        <v>103</v>
      </c>
      <c r="I312" t="s">
        <v>104</v>
      </c>
      <c r="J312" t="s">
        <v>164</v>
      </c>
      <c r="K312" t="s">
        <v>165</v>
      </c>
      <c r="L312" t="s">
        <v>166</v>
      </c>
      <c r="M312">
        <v>100249</v>
      </c>
      <c r="N312" t="s">
        <v>167</v>
      </c>
      <c r="O312" t="s">
        <v>144</v>
      </c>
      <c r="P312" t="s">
        <v>110</v>
      </c>
      <c r="Q312" t="s">
        <v>111</v>
      </c>
      <c r="R312" t="s">
        <v>112</v>
      </c>
    </row>
    <row r="313" spans="1:18" x14ac:dyDescent="0.25">
      <c r="A313">
        <v>34313</v>
      </c>
      <c r="B313" t="s">
        <v>1052</v>
      </c>
      <c r="C313">
        <v>34313</v>
      </c>
      <c r="D313">
        <v>389</v>
      </c>
      <c r="E313" t="s">
        <v>147</v>
      </c>
      <c r="F313">
        <v>20</v>
      </c>
      <c r="G313" t="s">
        <v>1053</v>
      </c>
      <c r="H313" t="s">
        <v>121</v>
      </c>
      <c r="I313" t="s">
        <v>150</v>
      </c>
      <c r="J313" t="s">
        <v>175</v>
      </c>
      <c r="K313" t="s">
        <v>176</v>
      </c>
      <c r="L313" t="s">
        <v>177</v>
      </c>
      <c r="M313">
        <v>100031</v>
      </c>
      <c r="N313" t="s">
        <v>178</v>
      </c>
      <c r="O313" t="s">
        <v>179</v>
      </c>
      <c r="P313" t="s">
        <v>110</v>
      </c>
      <c r="Q313" t="s">
        <v>132</v>
      </c>
      <c r="R313" t="s">
        <v>180</v>
      </c>
    </row>
    <row r="314" spans="1:18" x14ac:dyDescent="0.25">
      <c r="A314">
        <v>34314</v>
      </c>
      <c r="B314" t="s">
        <v>1054</v>
      </c>
      <c r="C314">
        <v>34314</v>
      </c>
      <c r="D314">
        <v>626</v>
      </c>
      <c r="E314" t="s">
        <v>147</v>
      </c>
      <c r="F314">
        <v>20</v>
      </c>
      <c r="G314" t="s">
        <v>1055</v>
      </c>
      <c r="H314" t="s">
        <v>149</v>
      </c>
      <c r="I314" t="s">
        <v>150</v>
      </c>
      <c r="J314" t="s">
        <v>151</v>
      </c>
      <c r="K314" t="s">
        <v>192</v>
      </c>
      <c r="L314" t="s">
        <v>193</v>
      </c>
      <c r="M314">
        <v>100235</v>
      </c>
      <c r="N314" t="s">
        <v>194</v>
      </c>
      <c r="O314" t="s">
        <v>109</v>
      </c>
      <c r="P314" t="s">
        <v>110</v>
      </c>
      <c r="Q314" t="s">
        <v>111</v>
      </c>
      <c r="R314" t="s">
        <v>180</v>
      </c>
    </row>
    <row r="315" spans="1:18" x14ac:dyDescent="0.25">
      <c r="A315">
        <v>34315</v>
      </c>
      <c r="B315" t="s">
        <v>1056</v>
      </c>
      <c r="C315">
        <v>34315</v>
      </c>
      <c r="D315">
        <v>279</v>
      </c>
      <c r="E315" t="s">
        <v>119</v>
      </c>
      <c r="F315">
        <v>30</v>
      </c>
      <c r="G315" t="s">
        <v>1057</v>
      </c>
      <c r="H315" t="s">
        <v>121</v>
      </c>
      <c r="I315" t="s">
        <v>150</v>
      </c>
      <c r="J315" t="s">
        <v>175</v>
      </c>
      <c r="K315" t="s">
        <v>123</v>
      </c>
      <c r="L315" t="s">
        <v>124</v>
      </c>
      <c r="M315">
        <v>100004</v>
      </c>
      <c r="N315" t="s">
        <v>189</v>
      </c>
      <c r="O315" t="s">
        <v>179</v>
      </c>
      <c r="P315" t="s">
        <v>110</v>
      </c>
      <c r="Q315" t="s">
        <v>132</v>
      </c>
      <c r="R315" t="s">
        <v>156</v>
      </c>
    </row>
    <row r="316" spans="1:18" x14ac:dyDescent="0.25">
      <c r="A316">
        <v>34316</v>
      </c>
      <c r="B316" t="s">
        <v>1058</v>
      </c>
      <c r="C316">
        <v>34316</v>
      </c>
      <c r="D316">
        <v>451</v>
      </c>
      <c r="E316" t="s">
        <v>147</v>
      </c>
      <c r="F316">
        <v>20</v>
      </c>
      <c r="G316" t="s">
        <v>1059</v>
      </c>
      <c r="H316" t="s">
        <v>121</v>
      </c>
      <c r="I316" t="s">
        <v>150</v>
      </c>
      <c r="J316" t="s">
        <v>175</v>
      </c>
      <c r="K316" t="s">
        <v>152</v>
      </c>
      <c r="L316" t="s">
        <v>153</v>
      </c>
      <c r="M316">
        <v>100219</v>
      </c>
      <c r="N316" t="s">
        <v>284</v>
      </c>
      <c r="O316" t="s">
        <v>179</v>
      </c>
      <c r="P316" t="s">
        <v>110</v>
      </c>
      <c r="Q316" t="s">
        <v>132</v>
      </c>
      <c r="R316" t="s">
        <v>156</v>
      </c>
    </row>
    <row r="317" spans="1:18" x14ac:dyDescent="0.25">
      <c r="A317">
        <v>34317</v>
      </c>
      <c r="B317" t="s">
        <v>1060</v>
      </c>
      <c r="C317">
        <v>34317</v>
      </c>
      <c r="D317">
        <v>4356</v>
      </c>
      <c r="E317" t="s">
        <v>119</v>
      </c>
      <c r="F317">
        <v>30</v>
      </c>
      <c r="G317" t="s">
        <v>1061</v>
      </c>
      <c r="H317" t="s">
        <v>121</v>
      </c>
      <c r="I317" t="s">
        <v>150</v>
      </c>
      <c r="J317" t="s">
        <v>175</v>
      </c>
      <c r="K317" t="s">
        <v>152</v>
      </c>
      <c r="L317" t="s">
        <v>153</v>
      </c>
      <c r="M317">
        <v>100219</v>
      </c>
      <c r="N317" t="s">
        <v>284</v>
      </c>
      <c r="O317" t="s">
        <v>179</v>
      </c>
      <c r="P317" t="s">
        <v>110</v>
      </c>
      <c r="Q317" t="s">
        <v>132</v>
      </c>
      <c r="R317" t="s">
        <v>156</v>
      </c>
    </row>
    <row r="318" spans="1:18" x14ac:dyDescent="0.25">
      <c r="A318">
        <v>34318</v>
      </c>
      <c r="B318" t="s">
        <v>1062</v>
      </c>
      <c r="C318">
        <v>34318</v>
      </c>
      <c r="D318">
        <v>1468</v>
      </c>
      <c r="E318" t="s">
        <v>147</v>
      </c>
      <c r="F318">
        <v>20</v>
      </c>
      <c r="G318" t="s">
        <v>1063</v>
      </c>
      <c r="H318" t="s">
        <v>149</v>
      </c>
      <c r="I318" t="s">
        <v>150</v>
      </c>
      <c r="J318" t="s">
        <v>151</v>
      </c>
      <c r="K318" t="s">
        <v>152</v>
      </c>
      <c r="L318" t="s">
        <v>153</v>
      </c>
      <c r="M318">
        <v>100235</v>
      </c>
      <c r="N318" t="s">
        <v>194</v>
      </c>
      <c r="O318" t="s">
        <v>109</v>
      </c>
      <c r="P318" t="s">
        <v>110</v>
      </c>
      <c r="Q318" t="s">
        <v>111</v>
      </c>
      <c r="R318" t="s">
        <v>180</v>
      </c>
    </row>
    <row r="319" spans="1:18" x14ac:dyDescent="0.25">
      <c r="A319">
        <v>34319</v>
      </c>
      <c r="B319" t="s">
        <v>1064</v>
      </c>
      <c r="C319">
        <v>34319</v>
      </c>
      <c r="D319">
        <v>1132</v>
      </c>
      <c r="E319" t="s">
        <v>119</v>
      </c>
      <c r="F319">
        <v>30</v>
      </c>
      <c r="G319" t="s">
        <v>1065</v>
      </c>
      <c r="H319" t="s">
        <v>103</v>
      </c>
      <c r="I319" t="s">
        <v>104</v>
      </c>
      <c r="J319" t="s">
        <v>105</v>
      </c>
      <c r="K319" t="s">
        <v>206</v>
      </c>
      <c r="L319" t="s">
        <v>207</v>
      </c>
      <c r="M319">
        <v>100258</v>
      </c>
      <c r="N319" t="s">
        <v>108</v>
      </c>
      <c r="O319" t="s">
        <v>144</v>
      </c>
      <c r="P319" t="s">
        <v>110</v>
      </c>
      <c r="Q319" t="s">
        <v>132</v>
      </c>
      <c r="R319" t="s">
        <v>112</v>
      </c>
    </row>
    <row r="320" spans="1:18" x14ac:dyDescent="0.25">
      <c r="A320">
        <v>34320</v>
      </c>
      <c r="B320" t="s">
        <v>1066</v>
      </c>
      <c r="C320">
        <v>34320</v>
      </c>
      <c r="D320">
        <v>1617</v>
      </c>
      <c r="E320" t="s">
        <v>147</v>
      </c>
      <c r="F320">
        <v>20</v>
      </c>
      <c r="G320" t="s">
        <v>1067</v>
      </c>
      <c r="H320" t="s">
        <v>149</v>
      </c>
      <c r="I320" t="s">
        <v>150</v>
      </c>
      <c r="J320" t="s">
        <v>151</v>
      </c>
      <c r="K320" t="s">
        <v>192</v>
      </c>
      <c r="L320" t="s">
        <v>193</v>
      </c>
      <c r="M320">
        <v>100235</v>
      </c>
      <c r="N320" t="s">
        <v>194</v>
      </c>
      <c r="O320" t="s">
        <v>109</v>
      </c>
      <c r="P320" t="s">
        <v>110</v>
      </c>
      <c r="Q320" t="s">
        <v>111</v>
      </c>
      <c r="R320" t="s">
        <v>180</v>
      </c>
    </row>
    <row r="321" spans="1:18" x14ac:dyDescent="0.25">
      <c r="A321">
        <v>34321</v>
      </c>
      <c r="B321" t="s">
        <v>1068</v>
      </c>
      <c r="C321">
        <v>34321</v>
      </c>
      <c r="D321">
        <v>523</v>
      </c>
      <c r="E321" t="s">
        <v>147</v>
      </c>
      <c r="F321">
        <v>20</v>
      </c>
      <c r="G321" t="s">
        <v>1069</v>
      </c>
      <c r="H321" t="s">
        <v>149</v>
      </c>
      <c r="I321" t="s">
        <v>274</v>
      </c>
      <c r="J321" t="s">
        <v>274</v>
      </c>
      <c r="K321" t="s">
        <v>320</v>
      </c>
      <c r="L321" t="s">
        <v>321</v>
      </c>
      <c r="M321">
        <v>100016</v>
      </c>
      <c r="N321" t="s">
        <v>322</v>
      </c>
      <c r="O321" t="s">
        <v>109</v>
      </c>
      <c r="P321" t="s">
        <v>110</v>
      </c>
      <c r="Q321" t="s">
        <v>111</v>
      </c>
      <c r="R321" t="s">
        <v>180</v>
      </c>
    </row>
    <row r="322" spans="1:18" x14ac:dyDescent="0.25">
      <c r="A322">
        <v>34322</v>
      </c>
      <c r="B322" t="s">
        <v>1070</v>
      </c>
      <c r="C322">
        <v>34322</v>
      </c>
      <c r="D322">
        <v>2143</v>
      </c>
      <c r="E322" t="s">
        <v>147</v>
      </c>
      <c r="F322">
        <v>20</v>
      </c>
      <c r="G322" t="s">
        <v>1071</v>
      </c>
      <c r="H322" t="s">
        <v>149</v>
      </c>
      <c r="I322" t="s">
        <v>150</v>
      </c>
      <c r="J322" t="s">
        <v>151</v>
      </c>
      <c r="K322" t="s">
        <v>152</v>
      </c>
      <c r="L322" t="s">
        <v>153</v>
      </c>
      <c r="M322">
        <v>100235</v>
      </c>
      <c r="N322" t="s">
        <v>194</v>
      </c>
      <c r="O322" t="s">
        <v>109</v>
      </c>
      <c r="P322" t="s">
        <v>110</v>
      </c>
      <c r="Q322" t="s">
        <v>111</v>
      </c>
      <c r="R322" t="s">
        <v>180</v>
      </c>
    </row>
    <row r="323" spans="1:18" x14ac:dyDescent="0.25">
      <c r="A323">
        <v>34323</v>
      </c>
      <c r="B323" t="s">
        <v>1072</v>
      </c>
      <c r="C323">
        <v>34323</v>
      </c>
      <c r="D323">
        <v>691</v>
      </c>
      <c r="E323" t="s">
        <v>119</v>
      </c>
      <c r="F323">
        <v>30</v>
      </c>
      <c r="G323" t="s">
        <v>1073</v>
      </c>
      <c r="H323" t="s">
        <v>121</v>
      </c>
      <c r="I323" t="s">
        <v>150</v>
      </c>
      <c r="J323" t="s">
        <v>175</v>
      </c>
      <c r="K323" t="s">
        <v>165</v>
      </c>
      <c r="L323" t="s">
        <v>166</v>
      </c>
      <c r="M323">
        <v>100004</v>
      </c>
      <c r="N323" t="s">
        <v>189</v>
      </c>
      <c r="O323" t="s">
        <v>179</v>
      </c>
      <c r="P323" t="s">
        <v>110</v>
      </c>
      <c r="Q323" t="s">
        <v>132</v>
      </c>
      <c r="R323" t="s">
        <v>156</v>
      </c>
    </row>
    <row r="324" spans="1:18" x14ac:dyDescent="0.25">
      <c r="A324">
        <v>34324</v>
      </c>
      <c r="B324" t="s">
        <v>1074</v>
      </c>
      <c r="C324">
        <v>34324</v>
      </c>
      <c r="D324">
        <v>318</v>
      </c>
      <c r="E324" t="s">
        <v>101</v>
      </c>
      <c r="F324">
        <v>20</v>
      </c>
      <c r="G324" t="s">
        <v>1075</v>
      </c>
      <c r="H324" t="s">
        <v>103</v>
      </c>
      <c r="I324" t="s">
        <v>105</v>
      </c>
      <c r="J324" t="s">
        <v>105</v>
      </c>
      <c r="K324" t="s">
        <v>576</v>
      </c>
      <c r="L324" t="s">
        <v>577</v>
      </c>
      <c r="M324">
        <v>100002</v>
      </c>
      <c r="N324" t="s">
        <v>171</v>
      </c>
      <c r="O324" t="s">
        <v>109</v>
      </c>
      <c r="P324" t="s">
        <v>110</v>
      </c>
      <c r="Q324" t="s">
        <v>132</v>
      </c>
      <c r="R324" t="s">
        <v>156</v>
      </c>
    </row>
    <row r="325" spans="1:18" x14ac:dyDescent="0.25">
      <c r="A325">
        <v>34325</v>
      </c>
      <c r="B325" t="s">
        <v>1079</v>
      </c>
      <c r="C325">
        <v>34325</v>
      </c>
      <c r="D325">
        <v>673</v>
      </c>
      <c r="E325" t="s">
        <v>101</v>
      </c>
      <c r="F325">
        <v>20</v>
      </c>
      <c r="G325" t="s">
        <v>1080</v>
      </c>
      <c r="H325" t="s">
        <v>103</v>
      </c>
      <c r="I325" t="s">
        <v>105</v>
      </c>
      <c r="J325" t="s">
        <v>105</v>
      </c>
      <c r="K325" t="s">
        <v>106</v>
      </c>
      <c r="L325" t="s">
        <v>107</v>
      </c>
      <c r="M325">
        <v>100002</v>
      </c>
      <c r="N325" t="s">
        <v>171</v>
      </c>
      <c r="O325" t="s">
        <v>109</v>
      </c>
      <c r="P325" t="s">
        <v>110</v>
      </c>
      <c r="Q325" t="s">
        <v>111</v>
      </c>
      <c r="R325" t="s">
        <v>156</v>
      </c>
    </row>
    <row r="326" spans="1:18" x14ac:dyDescent="0.25">
      <c r="A326">
        <v>34326</v>
      </c>
      <c r="B326" t="s">
        <v>1081</v>
      </c>
      <c r="C326">
        <v>34326</v>
      </c>
      <c r="D326">
        <v>1019</v>
      </c>
      <c r="E326" t="s">
        <v>119</v>
      </c>
      <c r="F326">
        <v>30</v>
      </c>
      <c r="G326" t="s">
        <v>1082</v>
      </c>
      <c r="H326" t="s">
        <v>103</v>
      </c>
      <c r="I326" t="s">
        <v>104</v>
      </c>
      <c r="J326" t="s">
        <v>259</v>
      </c>
      <c r="K326" t="s">
        <v>141</v>
      </c>
      <c r="L326" t="s">
        <v>142</v>
      </c>
      <c r="M326">
        <v>100257</v>
      </c>
      <c r="N326" t="s">
        <v>143</v>
      </c>
      <c r="O326" t="s">
        <v>144</v>
      </c>
      <c r="P326" t="s">
        <v>110</v>
      </c>
      <c r="Q326" t="s">
        <v>132</v>
      </c>
      <c r="R326" t="s">
        <v>112</v>
      </c>
    </row>
    <row r="327" spans="1:18" x14ac:dyDescent="0.25">
      <c r="A327">
        <v>34327</v>
      </c>
      <c r="B327" t="s">
        <v>1083</v>
      </c>
      <c r="C327">
        <v>34327</v>
      </c>
      <c r="D327">
        <v>921</v>
      </c>
      <c r="E327" t="s">
        <v>147</v>
      </c>
      <c r="F327">
        <v>20</v>
      </c>
      <c r="G327" t="s">
        <v>1084</v>
      </c>
      <c r="H327" t="s">
        <v>149</v>
      </c>
      <c r="I327" t="s">
        <v>216</v>
      </c>
      <c r="J327" t="s">
        <v>217</v>
      </c>
      <c r="K327" t="s">
        <v>218</v>
      </c>
      <c r="L327" t="s">
        <v>219</v>
      </c>
      <c r="M327">
        <v>100253</v>
      </c>
      <c r="N327" t="s">
        <v>220</v>
      </c>
      <c r="O327" t="s">
        <v>109</v>
      </c>
      <c r="P327" t="s">
        <v>110</v>
      </c>
      <c r="Q327" t="s">
        <v>132</v>
      </c>
      <c r="R327" t="s">
        <v>221</v>
      </c>
    </row>
    <row r="328" spans="1:18" x14ac:dyDescent="0.25">
      <c r="A328">
        <v>34328</v>
      </c>
      <c r="B328" t="s">
        <v>1088</v>
      </c>
      <c r="C328">
        <v>34328</v>
      </c>
      <c r="D328">
        <v>1690</v>
      </c>
      <c r="E328" t="s">
        <v>147</v>
      </c>
      <c r="F328">
        <v>20</v>
      </c>
      <c r="G328" t="s">
        <v>1089</v>
      </c>
      <c r="H328" t="s">
        <v>121</v>
      </c>
      <c r="I328" t="s">
        <v>150</v>
      </c>
      <c r="J328" t="s">
        <v>175</v>
      </c>
      <c r="K328" t="s">
        <v>176</v>
      </c>
      <c r="L328" t="s">
        <v>177</v>
      </c>
      <c r="M328">
        <v>100031</v>
      </c>
      <c r="N328" t="s">
        <v>178</v>
      </c>
      <c r="O328" t="s">
        <v>179</v>
      </c>
      <c r="P328" t="s">
        <v>110</v>
      </c>
      <c r="Q328" t="s">
        <v>132</v>
      </c>
      <c r="R328" t="s">
        <v>180</v>
      </c>
    </row>
    <row r="329" spans="1:18" x14ac:dyDescent="0.25">
      <c r="A329">
        <v>34329</v>
      </c>
      <c r="B329" t="s">
        <v>1090</v>
      </c>
      <c r="C329">
        <v>34329</v>
      </c>
      <c r="D329">
        <v>3790</v>
      </c>
      <c r="E329" t="s">
        <v>101</v>
      </c>
      <c r="F329">
        <v>20</v>
      </c>
      <c r="G329" t="s">
        <v>1091</v>
      </c>
      <c r="H329" t="s">
        <v>103</v>
      </c>
      <c r="I329" t="s">
        <v>104</v>
      </c>
      <c r="J329" t="s">
        <v>105</v>
      </c>
      <c r="K329" t="s">
        <v>576</v>
      </c>
      <c r="L329" t="s">
        <v>577</v>
      </c>
      <c r="M329">
        <v>100015</v>
      </c>
      <c r="N329" t="s">
        <v>377</v>
      </c>
      <c r="O329" t="s">
        <v>109</v>
      </c>
      <c r="P329" t="s">
        <v>110</v>
      </c>
      <c r="Q329" t="s">
        <v>111</v>
      </c>
      <c r="R329" t="s">
        <v>156</v>
      </c>
    </row>
    <row r="330" spans="1:18" x14ac:dyDescent="0.25">
      <c r="A330">
        <v>34331</v>
      </c>
      <c r="B330" t="s">
        <v>1092</v>
      </c>
      <c r="C330">
        <v>34331</v>
      </c>
      <c r="D330">
        <v>1891</v>
      </c>
      <c r="E330" t="s">
        <v>119</v>
      </c>
      <c r="F330">
        <v>30</v>
      </c>
      <c r="G330" t="s">
        <v>1093</v>
      </c>
      <c r="H330" t="s">
        <v>103</v>
      </c>
      <c r="I330" t="s">
        <v>104</v>
      </c>
      <c r="J330" t="s">
        <v>259</v>
      </c>
      <c r="K330" t="s">
        <v>141</v>
      </c>
      <c r="L330" t="s">
        <v>142</v>
      </c>
      <c r="M330">
        <v>100257</v>
      </c>
      <c r="N330" t="s">
        <v>143</v>
      </c>
      <c r="O330" t="s">
        <v>144</v>
      </c>
      <c r="P330" t="s">
        <v>110</v>
      </c>
      <c r="Q330" t="s">
        <v>132</v>
      </c>
      <c r="R330" t="s">
        <v>112</v>
      </c>
    </row>
    <row r="331" spans="1:18" x14ac:dyDescent="0.25">
      <c r="A331">
        <v>34332</v>
      </c>
      <c r="B331" t="s">
        <v>1094</v>
      </c>
      <c r="C331">
        <v>34332</v>
      </c>
      <c r="D331">
        <v>3279</v>
      </c>
      <c r="E331" t="s">
        <v>128</v>
      </c>
      <c r="F331">
        <v>20</v>
      </c>
      <c r="G331" t="s">
        <v>1095</v>
      </c>
      <c r="H331" t="s">
        <v>121</v>
      </c>
      <c r="I331" t="s">
        <v>105</v>
      </c>
      <c r="J331" t="s">
        <v>122</v>
      </c>
      <c r="K331" t="s">
        <v>130</v>
      </c>
      <c r="L331" t="s">
        <v>131</v>
      </c>
      <c r="M331">
        <v>100181</v>
      </c>
      <c r="N331" t="s">
        <v>125</v>
      </c>
      <c r="O331" t="s">
        <v>109</v>
      </c>
      <c r="P331" t="s">
        <v>110</v>
      </c>
      <c r="Q331" t="s">
        <v>132</v>
      </c>
      <c r="R331" t="s">
        <v>180</v>
      </c>
    </row>
    <row r="332" spans="1:18" x14ac:dyDescent="0.25">
      <c r="A332">
        <v>34333</v>
      </c>
      <c r="B332" t="s">
        <v>1099</v>
      </c>
      <c r="C332">
        <v>34333</v>
      </c>
      <c r="D332">
        <v>3067</v>
      </c>
      <c r="E332" t="s">
        <v>147</v>
      </c>
      <c r="F332">
        <v>20</v>
      </c>
      <c r="G332" t="s">
        <v>1100</v>
      </c>
      <c r="H332" t="s">
        <v>121</v>
      </c>
      <c r="I332" t="s">
        <v>227</v>
      </c>
      <c r="J332" t="s">
        <v>122</v>
      </c>
      <c r="K332" t="s">
        <v>228</v>
      </c>
      <c r="L332" t="s">
        <v>229</v>
      </c>
      <c r="M332">
        <v>100259</v>
      </c>
      <c r="N332" t="s">
        <v>230</v>
      </c>
      <c r="O332" t="s">
        <v>109</v>
      </c>
      <c r="P332" t="s">
        <v>110</v>
      </c>
      <c r="Q332" t="s">
        <v>111</v>
      </c>
      <c r="R332" t="s">
        <v>221</v>
      </c>
    </row>
    <row r="333" spans="1:18" x14ac:dyDescent="0.25">
      <c r="A333">
        <v>34334</v>
      </c>
      <c r="B333" t="s">
        <v>1101</v>
      </c>
      <c r="C333">
        <v>34334</v>
      </c>
      <c r="D333">
        <v>2805</v>
      </c>
      <c r="E333" t="s">
        <v>119</v>
      </c>
      <c r="F333">
        <v>30</v>
      </c>
      <c r="G333" t="s">
        <v>1102</v>
      </c>
      <c r="H333" t="s">
        <v>103</v>
      </c>
      <c r="I333" t="s">
        <v>104</v>
      </c>
      <c r="J333" t="s">
        <v>259</v>
      </c>
      <c r="K333" t="s">
        <v>141</v>
      </c>
      <c r="L333" t="s">
        <v>142</v>
      </c>
      <c r="M333">
        <v>100257</v>
      </c>
      <c r="N333" t="s">
        <v>143</v>
      </c>
      <c r="O333" t="s">
        <v>144</v>
      </c>
      <c r="P333" t="s">
        <v>110</v>
      </c>
      <c r="Q333" t="s">
        <v>132</v>
      </c>
      <c r="R333" t="s">
        <v>112</v>
      </c>
    </row>
    <row r="334" spans="1:18" x14ac:dyDescent="0.25">
      <c r="A334">
        <v>34335</v>
      </c>
      <c r="B334" t="s">
        <v>1103</v>
      </c>
      <c r="C334">
        <v>34335</v>
      </c>
      <c r="D334">
        <v>797</v>
      </c>
      <c r="E334" t="s">
        <v>162</v>
      </c>
      <c r="F334">
        <v>20</v>
      </c>
      <c r="G334" t="s">
        <v>1104</v>
      </c>
      <c r="H334" t="s">
        <v>103</v>
      </c>
      <c r="I334" t="s">
        <v>104</v>
      </c>
      <c r="J334" t="s">
        <v>164</v>
      </c>
      <c r="K334" t="s">
        <v>165</v>
      </c>
      <c r="L334" t="s">
        <v>166</v>
      </c>
      <c r="M334">
        <v>100249</v>
      </c>
      <c r="N334" t="s">
        <v>167</v>
      </c>
      <c r="O334" t="s">
        <v>109</v>
      </c>
      <c r="P334" t="s">
        <v>110</v>
      </c>
      <c r="Q334" t="s">
        <v>132</v>
      </c>
      <c r="R334" t="s">
        <v>112</v>
      </c>
    </row>
    <row r="335" spans="1:18" x14ac:dyDescent="0.25">
      <c r="A335">
        <v>34336</v>
      </c>
      <c r="B335" t="s">
        <v>1105</v>
      </c>
      <c r="C335">
        <v>34336</v>
      </c>
      <c r="D335">
        <v>1734</v>
      </c>
      <c r="E335" t="s">
        <v>101</v>
      </c>
      <c r="F335">
        <v>20</v>
      </c>
      <c r="G335" t="s">
        <v>1106</v>
      </c>
      <c r="H335" t="s">
        <v>103</v>
      </c>
      <c r="I335" t="s">
        <v>105</v>
      </c>
      <c r="J335" t="s">
        <v>105</v>
      </c>
      <c r="K335" t="s">
        <v>241</v>
      </c>
      <c r="L335" t="s">
        <v>242</v>
      </c>
      <c r="M335">
        <v>100002</v>
      </c>
      <c r="N335" t="s">
        <v>171</v>
      </c>
      <c r="O335" t="s">
        <v>109</v>
      </c>
      <c r="P335" t="s">
        <v>110</v>
      </c>
      <c r="Q335" t="s">
        <v>132</v>
      </c>
      <c r="R335" t="s">
        <v>156</v>
      </c>
    </row>
    <row r="336" spans="1:18" x14ac:dyDescent="0.25">
      <c r="A336">
        <v>34337</v>
      </c>
      <c r="B336" t="s">
        <v>1110</v>
      </c>
      <c r="C336">
        <v>34337</v>
      </c>
      <c r="D336">
        <v>3140</v>
      </c>
      <c r="E336" t="s">
        <v>147</v>
      </c>
      <c r="F336">
        <v>20</v>
      </c>
      <c r="G336" t="s">
        <v>1111</v>
      </c>
      <c r="H336" t="s">
        <v>149</v>
      </c>
      <c r="I336" t="s">
        <v>216</v>
      </c>
      <c r="J336" t="s">
        <v>217</v>
      </c>
      <c r="K336" t="s">
        <v>431</v>
      </c>
      <c r="L336" t="s">
        <v>432</v>
      </c>
      <c r="M336">
        <v>100253</v>
      </c>
      <c r="N336" t="s">
        <v>220</v>
      </c>
      <c r="O336" t="s">
        <v>109</v>
      </c>
      <c r="P336" t="s">
        <v>110</v>
      </c>
      <c r="Q336" t="s">
        <v>111</v>
      </c>
      <c r="R336" t="s">
        <v>221</v>
      </c>
    </row>
    <row r="337" spans="1:18" x14ac:dyDescent="0.25">
      <c r="A337">
        <v>34338</v>
      </c>
      <c r="B337" t="s">
        <v>1115</v>
      </c>
      <c r="C337">
        <v>34338</v>
      </c>
      <c r="D337">
        <v>313</v>
      </c>
      <c r="E337" t="s">
        <v>119</v>
      </c>
      <c r="F337">
        <v>30</v>
      </c>
      <c r="G337" t="s">
        <v>1116</v>
      </c>
      <c r="H337" t="s">
        <v>121</v>
      </c>
      <c r="I337" t="s">
        <v>150</v>
      </c>
      <c r="J337" t="s">
        <v>175</v>
      </c>
      <c r="K337" t="s">
        <v>165</v>
      </c>
      <c r="L337" t="s">
        <v>166</v>
      </c>
      <c r="M337">
        <v>100004</v>
      </c>
      <c r="N337" t="s">
        <v>189</v>
      </c>
      <c r="O337" t="s">
        <v>179</v>
      </c>
      <c r="P337" t="s">
        <v>110</v>
      </c>
      <c r="Q337" t="s">
        <v>132</v>
      </c>
      <c r="R337" t="s">
        <v>156</v>
      </c>
    </row>
    <row r="338" spans="1:18" x14ac:dyDescent="0.25">
      <c r="A338">
        <v>34339</v>
      </c>
      <c r="B338" t="s">
        <v>1117</v>
      </c>
      <c r="C338">
        <v>34339</v>
      </c>
      <c r="D338">
        <v>1394</v>
      </c>
      <c r="E338" t="s">
        <v>101</v>
      </c>
      <c r="F338">
        <v>20</v>
      </c>
      <c r="G338" t="s">
        <v>1118</v>
      </c>
      <c r="H338" t="s">
        <v>103</v>
      </c>
      <c r="I338" t="s">
        <v>104</v>
      </c>
      <c r="J338" t="s">
        <v>140</v>
      </c>
      <c r="K338" t="s">
        <v>141</v>
      </c>
      <c r="L338" t="s">
        <v>142</v>
      </c>
      <c r="M338">
        <v>100248</v>
      </c>
      <c r="N338" t="s">
        <v>198</v>
      </c>
      <c r="O338" t="s">
        <v>144</v>
      </c>
      <c r="P338" t="s">
        <v>110</v>
      </c>
      <c r="Q338" t="s">
        <v>132</v>
      </c>
      <c r="R338" t="s">
        <v>112</v>
      </c>
    </row>
    <row r="339" spans="1:18" x14ac:dyDescent="0.25">
      <c r="A339">
        <v>34340</v>
      </c>
      <c r="B339" t="s">
        <v>1119</v>
      </c>
      <c r="C339">
        <v>34340</v>
      </c>
      <c r="D339">
        <v>554</v>
      </c>
      <c r="E339" t="s">
        <v>147</v>
      </c>
      <c r="F339">
        <v>20</v>
      </c>
      <c r="G339" t="s">
        <v>1120</v>
      </c>
      <c r="H339" t="s">
        <v>149</v>
      </c>
      <c r="I339" t="s">
        <v>274</v>
      </c>
      <c r="J339" t="s">
        <v>274</v>
      </c>
      <c r="K339" t="s">
        <v>275</v>
      </c>
      <c r="L339" t="s">
        <v>276</v>
      </c>
      <c r="M339">
        <v>100017</v>
      </c>
      <c r="N339" t="s">
        <v>277</v>
      </c>
      <c r="O339" t="s">
        <v>109</v>
      </c>
      <c r="P339" t="s">
        <v>110</v>
      </c>
      <c r="Q339" t="s">
        <v>132</v>
      </c>
      <c r="R339" t="s">
        <v>180</v>
      </c>
    </row>
    <row r="340" spans="1:18" x14ac:dyDescent="0.25">
      <c r="A340">
        <v>34341</v>
      </c>
      <c r="B340" t="s">
        <v>1121</v>
      </c>
      <c r="C340">
        <v>34341</v>
      </c>
      <c r="D340">
        <v>3726</v>
      </c>
      <c r="E340" t="s">
        <v>147</v>
      </c>
      <c r="F340">
        <v>20</v>
      </c>
      <c r="G340" t="s">
        <v>1122</v>
      </c>
      <c r="H340" t="s">
        <v>121</v>
      </c>
      <c r="I340" t="s">
        <v>227</v>
      </c>
      <c r="J340" t="s">
        <v>122</v>
      </c>
      <c r="K340" t="s">
        <v>123</v>
      </c>
      <c r="L340" t="s">
        <v>124</v>
      </c>
      <c r="M340">
        <v>100259</v>
      </c>
      <c r="N340" t="s">
        <v>230</v>
      </c>
      <c r="O340" t="s">
        <v>109</v>
      </c>
      <c r="P340" t="s">
        <v>110</v>
      </c>
      <c r="Q340" t="s">
        <v>132</v>
      </c>
      <c r="R340" t="s">
        <v>221</v>
      </c>
    </row>
    <row r="341" spans="1:18" x14ac:dyDescent="0.25">
      <c r="A341">
        <v>34342</v>
      </c>
      <c r="B341" t="s">
        <v>1126</v>
      </c>
      <c r="C341">
        <v>34342</v>
      </c>
      <c r="D341">
        <v>1617</v>
      </c>
      <c r="E341" t="s">
        <v>147</v>
      </c>
      <c r="F341">
        <v>20</v>
      </c>
      <c r="G341" t="s">
        <v>1127</v>
      </c>
      <c r="H341" t="s">
        <v>149</v>
      </c>
      <c r="I341" t="s">
        <v>150</v>
      </c>
      <c r="J341" t="s">
        <v>151</v>
      </c>
      <c r="K341" t="s">
        <v>152</v>
      </c>
      <c r="L341" t="s">
        <v>153</v>
      </c>
      <c r="M341">
        <v>100235</v>
      </c>
      <c r="N341" t="s">
        <v>194</v>
      </c>
      <c r="O341" t="s">
        <v>109</v>
      </c>
      <c r="P341" t="s">
        <v>110</v>
      </c>
      <c r="Q341" t="s">
        <v>111</v>
      </c>
      <c r="R341" t="s">
        <v>180</v>
      </c>
    </row>
    <row r="342" spans="1:18" x14ac:dyDescent="0.25">
      <c r="A342">
        <v>34343</v>
      </c>
      <c r="B342" t="s">
        <v>1128</v>
      </c>
      <c r="C342">
        <v>34343</v>
      </c>
      <c r="D342">
        <v>1687</v>
      </c>
      <c r="E342" t="s">
        <v>147</v>
      </c>
      <c r="F342">
        <v>20</v>
      </c>
      <c r="G342" t="s">
        <v>1129</v>
      </c>
      <c r="H342" t="s">
        <v>149</v>
      </c>
      <c r="I342" t="s">
        <v>150</v>
      </c>
      <c r="J342" t="s">
        <v>151</v>
      </c>
      <c r="K342" t="s">
        <v>152</v>
      </c>
      <c r="L342" t="s">
        <v>153</v>
      </c>
      <c r="M342">
        <v>100235</v>
      </c>
      <c r="N342" t="s">
        <v>194</v>
      </c>
      <c r="O342" t="s">
        <v>109</v>
      </c>
      <c r="P342" t="s">
        <v>110</v>
      </c>
      <c r="Q342" t="s">
        <v>132</v>
      </c>
      <c r="R342" t="s">
        <v>180</v>
      </c>
    </row>
    <row r="343" spans="1:18" x14ac:dyDescent="0.25">
      <c r="A343" s="8">
        <v>34344</v>
      </c>
      <c r="B343" s="8" t="s">
        <v>1130</v>
      </c>
      <c r="C343" s="8">
        <v>34344</v>
      </c>
      <c r="D343" s="8">
        <v>968</v>
      </c>
      <c r="E343" t="s">
        <v>147</v>
      </c>
      <c r="F343" s="8">
        <v>20</v>
      </c>
      <c r="G343" s="8" t="s">
        <v>1137</v>
      </c>
      <c r="H343" s="8" t="s">
        <v>149</v>
      </c>
      <c r="I343" s="8" t="s">
        <v>274</v>
      </c>
      <c r="J343" s="8" t="s">
        <v>274</v>
      </c>
      <c r="K343" s="8" t="s">
        <v>320</v>
      </c>
      <c r="L343" s="8" t="s">
        <v>321</v>
      </c>
      <c r="M343" s="8">
        <v>100016</v>
      </c>
      <c r="N343" s="8" t="s">
        <v>322</v>
      </c>
      <c r="O343" s="8"/>
      <c r="P343" t="s">
        <v>110</v>
      </c>
      <c r="Q343" t="s">
        <v>132</v>
      </c>
      <c r="R343" t="s">
        <v>180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M3" sqref="M3"/>
    </sheetView>
  </sheetViews>
  <sheetFormatPr baseColWidth="10" defaultRowHeight="15" x14ac:dyDescent="0.25"/>
  <cols>
    <col min="1" max="1" width="43.140625" customWidth="1"/>
    <col min="2" max="2" width="23.140625" customWidth="1"/>
    <col min="3" max="3" width="20.85546875" customWidth="1"/>
    <col min="4" max="4" width="19.42578125" customWidth="1"/>
    <col min="5" max="5" width="20.85546875" customWidth="1"/>
    <col min="6" max="6" width="33" customWidth="1"/>
    <col min="7" max="7" width="27.85546875" customWidth="1"/>
    <col min="8" max="8" width="8" customWidth="1"/>
    <col min="9" max="9" width="6.5703125" customWidth="1"/>
    <col min="10" max="10" width="8" customWidth="1"/>
    <col min="11" max="11" width="15" bestFit="1" customWidth="1"/>
    <col min="12" max="12" width="14.42578125" bestFit="1" customWidth="1"/>
    <col min="13" max="13" width="6.5703125" customWidth="1"/>
    <col min="14" max="14" width="8.140625" customWidth="1"/>
    <col min="15" max="15" width="7" customWidth="1"/>
    <col min="16" max="16" width="6.28515625" customWidth="1"/>
    <col min="17" max="17" width="6.5703125" customWidth="1"/>
    <col min="18" max="18" width="6.7109375" customWidth="1"/>
    <col min="19" max="19" width="9" customWidth="1"/>
    <col min="20" max="20" width="6.85546875" customWidth="1"/>
    <col min="21" max="21" width="16" bestFit="1" customWidth="1"/>
    <col min="22" max="22" width="9.140625" customWidth="1"/>
    <col min="23" max="23" width="6.85546875" customWidth="1"/>
    <col min="24" max="24" width="6.5703125" customWidth="1"/>
    <col min="25" max="25" width="8.7109375" customWidth="1"/>
    <col min="26" max="26" width="10.7109375" customWidth="1"/>
    <col min="27" max="27" width="12" bestFit="1" customWidth="1"/>
    <col min="28" max="28" width="5.7109375" customWidth="1"/>
    <col min="29" max="29" width="17.42578125" bestFit="1" customWidth="1"/>
    <col min="30" max="30" width="16" bestFit="1" customWidth="1"/>
    <col min="31" max="31" width="4.85546875" customWidth="1"/>
    <col min="32" max="32" width="9.42578125" customWidth="1"/>
    <col min="33" max="33" width="7.5703125" customWidth="1"/>
    <col min="34" max="34" width="15.5703125" bestFit="1" customWidth="1"/>
    <col min="35" max="35" width="16.7109375" bestFit="1" customWidth="1"/>
    <col min="36" max="36" width="54.140625" bestFit="1" customWidth="1"/>
    <col min="37" max="37" width="12" bestFit="1" customWidth="1"/>
    <col min="38" max="38" width="17.42578125" bestFit="1" customWidth="1"/>
    <col min="39" max="39" width="18.28515625" bestFit="1" customWidth="1"/>
    <col min="40" max="40" width="13.28515625" bestFit="1" customWidth="1"/>
    <col min="41" max="41" width="4.42578125" customWidth="1"/>
    <col min="42" max="42" width="8.140625" customWidth="1"/>
    <col min="43" max="43" width="6.42578125" customWidth="1"/>
    <col min="44" max="44" width="5.85546875" customWidth="1"/>
    <col min="45" max="45" width="16.5703125" bestFit="1" customWidth="1"/>
    <col min="46" max="46" width="18.42578125" bestFit="1" customWidth="1"/>
    <col min="47" max="47" width="10.28515625" customWidth="1"/>
    <col min="48" max="48" width="11.140625" bestFit="1" customWidth="1"/>
    <col min="49" max="49" width="9.85546875" customWidth="1"/>
    <col min="50" max="50" width="9.28515625" customWidth="1"/>
    <col min="51" max="51" width="8.5703125" customWidth="1"/>
    <col min="52" max="52" width="12.28515625" bestFit="1" customWidth="1"/>
    <col min="53" max="53" width="11.42578125" bestFit="1" customWidth="1"/>
    <col min="54" max="54" width="12.140625" bestFit="1" customWidth="1"/>
    <col min="55" max="55" width="15.42578125" bestFit="1" customWidth="1"/>
    <col min="56" max="56" width="19.5703125" bestFit="1" customWidth="1"/>
    <col min="57" max="57" width="19.42578125" bestFit="1" customWidth="1"/>
    <col min="58" max="58" width="8.7109375" customWidth="1"/>
    <col min="59" max="59" width="8.5703125" customWidth="1"/>
    <col min="60" max="60" width="6.42578125" customWidth="1"/>
    <col min="61" max="61" width="9.85546875" customWidth="1"/>
    <col min="62" max="62" width="9.140625" customWidth="1"/>
    <col min="63" max="63" width="6.85546875" customWidth="1"/>
    <col min="64" max="64" width="8.85546875" customWidth="1"/>
    <col min="65" max="65" width="6.5703125" customWidth="1"/>
    <col min="66" max="66" width="6.42578125" customWidth="1"/>
    <col min="67" max="67" width="7.28515625" customWidth="1"/>
    <col min="68" max="68" width="9.5703125" customWidth="1"/>
    <col min="69" max="69" width="9.85546875" customWidth="1"/>
    <col min="70" max="70" width="10.5703125" customWidth="1"/>
    <col min="71" max="71" width="10.85546875" customWidth="1"/>
    <col min="72" max="72" width="15.140625" bestFit="1" customWidth="1"/>
    <col min="73" max="73" width="10" customWidth="1"/>
    <col min="74" max="74" width="7.140625" customWidth="1"/>
    <col min="75" max="75" width="8" customWidth="1"/>
    <col min="76" max="76" width="10.140625" customWidth="1"/>
    <col min="77" max="77" width="7.5703125" customWidth="1"/>
    <col min="78" max="78" width="6.140625" customWidth="1"/>
    <col min="79" max="79" width="9" customWidth="1"/>
    <col min="80" max="80" width="9.5703125" customWidth="1"/>
    <col min="81" max="81" width="11.140625" bestFit="1" customWidth="1"/>
    <col min="82" max="82" width="9.140625" customWidth="1"/>
    <col min="83" max="83" width="14.85546875" bestFit="1" customWidth="1"/>
    <col min="84" max="84" width="8" customWidth="1"/>
    <col min="85" max="85" width="15.5703125" bestFit="1" customWidth="1"/>
    <col min="86" max="86" width="16.5703125" bestFit="1" customWidth="1"/>
    <col min="87" max="87" width="13.28515625" bestFit="1" customWidth="1"/>
    <col min="88" max="88" width="7.42578125" customWidth="1"/>
    <col min="89" max="89" width="5.28515625" customWidth="1"/>
    <col min="90" max="90" width="9" customWidth="1"/>
    <col min="91" max="91" width="10.140625" customWidth="1"/>
    <col min="92" max="92" width="9.5703125" customWidth="1"/>
    <col min="93" max="93" width="12" bestFit="1" customWidth="1"/>
    <col min="94" max="94" width="14.42578125" bestFit="1" customWidth="1"/>
    <col min="95" max="95" width="8.140625" customWidth="1"/>
    <col min="96" max="96" width="10.42578125" customWidth="1"/>
    <col min="97" max="97" width="36.42578125" bestFit="1" customWidth="1"/>
    <col min="98" max="98" width="5.42578125" customWidth="1"/>
    <col min="99" max="99" width="7.7109375" customWidth="1"/>
    <col min="100" max="100" width="7.140625" customWidth="1"/>
    <col min="101" max="101" width="5.5703125" customWidth="1"/>
    <col min="102" max="102" width="8.42578125" customWidth="1"/>
    <col min="103" max="103" width="10.28515625" customWidth="1"/>
    <col min="104" max="104" width="11.42578125" bestFit="1" customWidth="1"/>
    <col min="105" max="106" width="9.85546875" customWidth="1"/>
    <col min="107" max="107" width="10.5703125" customWidth="1"/>
    <col min="108" max="108" width="12.28515625" bestFit="1" customWidth="1"/>
    <col min="109" max="109" width="16.42578125" bestFit="1" customWidth="1"/>
    <col min="110" max="110" width="8.28515625" customWidth="1"/>
    <col min="111" max="111" width="9.140625" customWidth="1"/>
    <col min="112" max="112" width="6.5703125" customWidth="1"/>
    <col min="113" max="113" width="6.7109375" customWidth="1"/>
    <col min="114" max="114" width="16.140625" bestFit="1" customWidth="1"/>
    <col min="115" max="115" width="17.7109375" bestFit="1" customWidth="1"/>
    <col min="116" max="116" width="5.140625" customWidth="1"/>
    <col min="117" max="117" width="21.42578125" bestFit="1" customWidth="1"/>
    <col min="118" max="118" width="5.85546875" customWidth="1"/>
    <col min="119" max="119" width="8.140625" customWidth="1"/>
    <col min="120" max="120" width="7.42578125" customWidth="1"/>
    <col min="121" max="121" width="5.85546875" customWidth="1"/>
    <col min="122" max="122" width="14.5703125" bestFit="1" customWidth="1"/>
    <col min="123" max="123" width="7.5703125" customWidth="1"/>
    <col min="124" max="124" width="19.140625" bestFit="1" customWidth="1"/>
    <col min="125" max="125" width="5.42578125" customWidth="1"/>
    <col min="126" max="126" width="7.5703125" customWidth="1"/>
    <col min="127" max="127" width="5.140625" customWidth="1"/>
    <col min="128" max="128" width="7.5703125" customWidth="1"/>
    <col min="129" max="129" width="8.7109375" customWidth="1"/>
    <col min="130" max="130" width="6.5703125" customWidth="1"/>
    <col min="131" max="131" width="10.42578125" customWidth="1"/>
    <col min="132" max="132" width="7.85546875" customWidth="1"/>
    <col min="133" max="133" width="7.28515625" customWidth="1"/>
    <col min="134" max="134" width="7.85546875" customWidth="1"/>
    <col min="135" max="135" width="10.140625" customWidth="1"/>
    <col min="136" max="136" width="8.5703125" customWidth="1"/>
    <col min="137" max="137" width="7.85546875" customWidth="1"/>
    <col min="138" max="138" width="10.140625" customWidth="1"/>
    <col min="139" max="139" width="20.140625" bestFit="1" customWidth="1"/>
    <col min="140" max="140" width="21.5703125" bestFit="1" customWidth="1"/>
    <col min="141" max="141" width="10.85546875" customWidth="1"/>
    <col min="142" max="142" width="21.85546875" bestFit="1" customWidth="1"/>
    <col min="143" max="143" width="23.28515625" bestFit="1" customWidth="1"/>
    <col min="144" max="144" width="20.7109375" bestFit="1" customWidth="1"/>
    <col min="145" max="145" width="21.85546875" bestFit="1" customWidth="1"/>
    <col min="146" max="146" width="26.140625" bestFit="1" customWidth="1"/>
    <col min="147" max="147" width="22.140625" bestFit="1" customWidth="1"/>
    <col min="148" max="148" width="17.5703125" bestFit="1" customWidth="1"/>
    <col min="149" max="149" width="16.42578125" bestFit="1" customWidth="1"/>
    <col min="150" max="150" width="21.140625" bestFit="1" customWidth="1"/>
    <col min="151" max="151" width="12.42578125" bestFit="1" customWidth="1"/>
    <col min="152" max="152" width="21.85546875" bestFit="1" customWidth="1"/>
    <col min="153" max="153" width="18.7109375" bestFit="1" customWidth="1"/>
    <col min="154" max="154" width="19.140625" bestFit="1" customWidth="1"/>
    <col min="155" max="155" width="19.5703125" bestFit="1" customWidth="1"/>
    <col min="156" max="156" width="15.5703125" bestFit="1" customWidth="1"/>
    <col min="157" max="157" width="21.140625" bestFit="1" customWidth="1"/>
    <col min="158" max="158" width="10.42578125" customWidth="1"/>
    <col min="159" max="159" width="8.85546875" customWidth="1"/>
    <col min="160" max="160" width="20.5703125" bestFit="1" customWidth="1"/>
    <col min="161" max="161" width="21.5703125" bestFit="1" customWidth="1"/>
    <col min="162" max="162" width="22.85546875" bestFit="1" customWidth="1"/>
    <col min="163" max="163" width="20.42578125" bestFit="1" customWidth="1"/>
    <col min="164" max="164" width="12.5703125" bestFit="1" customWidth="1"/>
    <col min="165" max="165" width="19.5703125" bestFit="1" customWidth="1"/>
    <col min="166" max="166" width="22.42578125" bestFit="1" customWidth="1"/>
    <col min="167" max="167" width="22.140625" bestFit="1" customWidth="1"/>
    <col min="168" max="168" width="21.5703125" bestFit="1" customWidth="1"/>
    <col min="169" max="169" width="10.5703125" customWidth="1"/>
    <col min="170" max="170" width="11.85546875" bestFit="1" customWidth="1"/>
    <col min="171" max="171" width="27.7109375" bestFit="1" customWidth="1"/>
    <col min="172" max="172" width="21.7109375" bestFit="1" customWidth="1"/>
    <col min="173" max="173" width="5.85546875" customWidth="1"/>
    <col min="174" max="174" width="10.85546875" customWidth="1"/>
    <col min="175" max="175" width="8.85546875" customWidth="1"/>
    <col min="176" max="176" width="12.7109375" bestFit="1" customWidth="1"/>
    <col min="177" max="177" width="7.28515625" customWidth="1"/>
    <col min="178" max="178" width="8" customWidth="1"/>
    <col min="179" max="179" width="6.85546875" customWidth="1"/>
    <col min="180" max="180" width="4.42578125" customWidth="1"/>
    <col min="181" max="181" width="5" customWidth="1"/>
    <col min="182" max="182" width="6.5703125" customWidth="1"/>
    <col min="183" max="183" width="7.5703125" customWidth="1"/>
    <col min="184" max="184" width="7.28515625" customWidth="1"/>
    <col min="185" max="185" width="14.42578125" bestFit="1" customWidth="1"/>
    <col min="186" max="186" width="10" customWidth="1"/>
    <col min="187" max="187" width="11.140625" bestFit="1" customWidth="1"/>
    <col min="188" max="188" width="9" customWidth="1"/>
    <col min="189" max="189" width="9.5703125" customWidth="1"/>
    <col min="190" max="190" width="11.140625" bestFit="1" customWidth="1"/>
    <col min="191" max="191" width="6.140625" customWidth="1"/>
    <col min="192" max="192" width="6.85546875" customWidth="1"/>
    <col min="193" max="193" width="10.42578125" customWidth="1"/>
    <col min="194" max="194" width="7.7109375" customWidth="1"/>
    <col min="195" max="195" width="4.28515625" customWidth="1"/>
    <col min="196" max="196" width="13.140625" bestFit="1" customWidth="1"/>
    <col min="197" max="197" width="8.28515625" customWidth="1"/>
    <col min="198" max="198" width="19" bestFit="1" customWidth="1"/>
    <col min="199" max="199" width="11.85546875" bestFit="1" customWidth="1"/>
    <col min="200" max="200" width="8" customWidth="1"/>
    <col min="201" max="201" width="9.7109375" customWidth="1"/>
    <col min="202" max="202" width="12.42578125" bestFit="1" customWidth="1"/>
    <col min="203" max="203" width="11" bestFit="1" customWidth="1"/>
    <col min="204" max="204" width="5.5703125" customWidth="1"/>
    <col min="205" max="205" width="11.7109375" bestFit="1" customWidth="1"/>
  </cols>
  <sheetData>
    <row r="1" spans="1:13" x14ac:dyDescent="0.25">
      <c r="A1" t="s">
        <v>11</v>
      </c>
      <c r="B1" t="s">
        <v>15</v>
      </c>
      <c r="C1" t="s">
        <v>1235</v>
      </c>
      <c r="D1" t="s">
        <v>1277</v>
      </c>
      <c r="E1" s="85" t="s">
        <v>1263</v>
      </c>
      <c r="F1" s="85" t="s">
        <v>1264</v>
      </c>
      <c r="G1" s="85" t="s">
        <v>1265</v>
      </c>
      <c r="H1" t="s">
        <v>1266</v>
      </c>
      <c r="I1" t="s">
        <v>1267</v>
      </c>
      <c r="J1" t="s">
        <v>1268</v>
      </c>
      <c r="K1" t="s">
        <v>1269</v>
      </c>
      <c r="L1" t="s">
        <v>1270</v>
      </c>
    </row>
    <row r="2" spans="1:13" x14ac:dyDescent="0.25">
      <c r="A2" s="81" t="s">
        <v>171</v>
      </c>
      <c r="B2" s="84" t="s">
        <v>1236</v>
      </c>
      <c r="C2" s="83" t="s">
        <v>1262</v>
      </c>
      <c r="D2" s="83" t="s">
        <v>1249</v>
      </c>
      <c r="E2" t="s">
        <v>1272</v>
      </c>
      <c r="F2">
        <v>1177</v>
      </c>
      <c r="G2">
        <v>121</v>
      </c>
      <c r="H2">
        <v>235</v>
      </c>
      <c r="I2">
        <v>79</v>
      </c>
      <c r="J2">
        <v>435</v>
      </c>
      <c r="K2">
        <v>50</v>
      </c>
      <c r="L2">
        <v>485</v>
      </c>
      <c r="M2">
        <f>G2+H2+I2</f>
        <v>435</v>
      </c>
    </row>
    <row r="3" spans="1:13" ht="14.45" x14ac:dyDescent="0.35">
      <c r="A3" s="81" t="s">
        <v>322</v>
      </c>
      <c r="B3" s="84" t="s">
        <v>1239</v>
      </c>
      <c r="C3" s="83" t="s">
        <v>1262</v>
      </c>
      <c r="D3" s="83" t="s">
        <v>1249</v>
      </c>
      <c r="E3" t="s">
        <v>1274</v>
      </c>
      <c r="F3">
        <v>466</v>
      </c>
      <c r="G3">
        <v>43</v>
      </c>
      <c r="H3">
        <v>71</v>
      </c>
      <c r="I3">
        <v>28</v>
      </c>
      <c r="J3">
        <v>142</v>
      </c>
      <c r="K3">
        <v>67</v>
      </c>
      <c r="L3">
        <v>209</v>
      </c>
    </row>
    <row r="4" spans="1:13" x14ac:dyDescent="0.25">
      <c r="A4" s="81" t="s">
        <v>125</v>
      </c>
      <c r="B4" s="84" t="s">
        <v>1236</v>
      </c>
      <c r="C4" s="83" t="s">
        <v>1262</v>
      </c>
      <c r="D4" s="83" t="s">
        <v>1249</v>
      </c>
      <c r="E4" t="s">
        <v>1272</v>
      </c>
      <c r="F4">
        <v>498</v>
      </c>
      <c r="G4">
        <v>70</v>
      </c>
      <c r="H4">
        <v>131</v>
      </c>
      <c r="I4" t="s">
        <v>1273</v>
      </c>
      <c r="J4">
        <v>201</v>
      </c>
      <c r="K4">
        <v>16</v>
      </c>
      <c r="L4">
        <v>217</v>
      </c>
    </row>
    <row r="5" spans="1:13" ht="14.1" customHeight="1" x14ac:dyDescent="0.25">
      <c r="A5" s="81" t="s">
        <v>154</v>
      </c>
      <c r="B5" s="83" t="s">
        <v>1262</v>
      </c>
      <c r="C5" s="83" t="s">
        <v>1262</v>
      </c>
      <c r="D5" s="83" t="s">
        <v>1262</v>
      </c>
      <c r="E5" s="83"/>
    </row>
    <row r="6" spans="1:13" ht="14.45" x14ac:dyDescent="0.35">
      <c r="A6" s="81" t="s">
        <v>311</v>
      </c>
      <c r="B6" s="84" t="s">
        <v>1242</v>
      </c>
      <c r="C6" s="83" t="s">
        <v>111</v>
      </c>
      <c r="D6" s="83" t="s">
        <v>1262</v>
      </c>
      <c r="E6" s="83"/>
    </row>
    <row r="7" spans="1:13" ht="14.45" x14ac:dyDescent="0.35">
      <c r="A7" s="81" t="s">
        <v>189</v>
      </c>
      <c r="B7" s="84" t="s">
        <v>1242</v>
      </c>
      <c r="C7" s="83" t="s">
        <v>1262</v>
      </c>
      <c r="D7" s="83" t="s">
        <v>1262</v>
      </c>
      <c r="E7" s="83"/>
    </row>
    <row r="8" spans="1:13" x14ac:dyDescent="0.25">
      <c r="A8" s="81" t="s">
        <v>194</v>
      </c>
      <c r="B8" s="84" t="s">
        <v>1241</v>
      </c>
      <c r="C8" s="83" t="s">
        <v>1262</v>
      </c>
      <c r="D8" s="83" t="s">
        <v>1250</v>
      </c>
      <c r="E8" s="83"/>
    </row>
    <row r="9" spans="1:13" ht="14.45" x14ac:dyDescent="0.35">
      <c r="A9" s="81" t="s">
        <v>143</v>
      </c>
      <c r="B9" s="83" t="s">
        <v>1262</v>
      </c>
      <c r="C9" s="83" t="s">
        <v>1262</v>
      </c>
      <c r="D9" s="83" t="s">
        <v>1262</v>
      </c>
      <c r="E9" s="83"/>
    </row>
    <row r="10" spans="1:13" x14ac:dyDescent="0.25">
      <c r="A10" s="81" t="s">
        <v>277</v>
      </c>
      <c r="B10" s="84" t="s">
        <v>1240</v>
      </c>
      <c r="C10" s="83" t="s">
        <v>1262</v>
      </c>
      <c r="D10" s="83" t="s">
        <v>1250</v>
      </c>
      <c r="E10" s="83"/>
    </row>
    <row r="11" spans="1:13" ht="14.45" x14ac:dyDescent="0.35">
      <c r="A11" s="81" t="s">
        <v>167</v>
      </c>
      <c r="B11" s="83" t="s">
        <v>1262</v>
      </c>
      <c r="C11" s="83" t="s">
        <v>111</v>
      </c>
      <c r="D11" s="83" t="s">
        <v>1262</v>
      </c>
      <c r="E11" s="83"/>
    </row>
    <row r="12" spans="1:13" ht="14.45" x14ac:dyDescent="0.35">
      <c r="A12" s="81" t="s">
        <v>377</v>
      </c>
      <c r="B12" s="84" t="s">
        <v>1236</v>
      </c>
      <c r="C12" s="83" t="s">
        <v>1262</v>
      </c>
      <c r="D12" s="83" t="s">
        <v>1249</v>
      </c>
      <c r="E12" t="s">
        <v>1274</v>
      </c>
      <c r="F12">
        <v>245</v>
      </c>
      <c r="G12">
        <v>20</v>
      </c>
      <c r="H12">
        <v>48</v>
      </c>
      <c r="I12">
        <v>8</v>
      </c>
      <c r="J12">
        <v>76</v>
      </c>
      <c r="K12" t="s">
        <v>1273</v>
      </c>
      <c r="L12">
        <v>76</v>
      </c>
    </row>
    <row r="13" spans="1:13" ht="14.45" x14ac:dyDescent="0.35">
      <c r="A13" s="81" t="s">
        <v>108</v>
      </c>
      <c r="B13" s="84" t="s">
        <v>1236</v>
      </c>
      <c r="C13" s="83" t="s">
        <v>111</v>
      </c>
      <c r="D13" s="83" t="s">
        <v>1262</v>
      </c>
      <c r="E13" s="83"/>
    </row>
    <row r="14" spans="1:13" x14ac:dyDescent="0.25">
      <c r="A14" s="81" t="s">
        <v>284</v>
      </c>
      <c r="B14" s="84" t="s">
        <v>1242</v>
      </c>
      <c r="C14" s="83" t="s">
        <v>111</v>
      </c>
      <c r="D14" s="83" t="s">
        <v>1249</v>
      </c>
      <c r="E14" t="s">
        <v>1275</v>
      </c>
      <c r="F14">
        <v>110</v>
      </c>
      <c r="G14">
        <v>5</v>
      </c>
      <c r="H14">
        <v>14</v>
      </c>
      <c r="I14">
        <v>1</v>
      </c>
      <c r="J14">
        <v>20</v>
      </c>
      <c r="K14">
        <v>12</v>
      </c>
      <c r="L14">
        <v>32</v>
      </c>
    </row>
    <row r="15" spans="1:13" x14ac:dyDescent="0.25">
      <c r="A15" s="81" t="s">
        <v>198</v>
      </c>
      <c r="B15" s="84" t="s">
        <v>1236</v>
      </c>
      <c r="C15" s="83" t="s">
        <v>111</v>
      </c>
      <c r="D15" s="83" t="s">
        <v>1262</v>
      </c>
      <c r="E15" s="83"/>
    </row>
    <row r="16" spans="1:13" x14ac:dyDescent="0.25">
      <c r="A16" s="81" t="s">
        <v>178</v>
      </c>
      <c r="B16" s="84" t="s">
        <v>1242</v>
      </c>
      <c r="C16" s="83" t="s">
        <v>1262</v>
      </c>
      <c r="D16" s="83" t="s">
        <v>1249</v>
      </c>
      <c r="E16" t="s">
        <v>1275</v>
      </c>
      <c r="F16">
        <v>333</v>
      </c>
      <c r="G16">
        <v>25</v>
      </c>
      <c r="H16">
        <v>42</v>
      </c>
      <c r="I16">
        <v>17</v>
      </c>
      <c r="J16">
        <v>84</v>
      </c>
      <c r="K16">
        <v>33</v>
      </c>
      <c r="L16">
        <v>117</v>
      </c>
    </row>
    <row r="17" spans="1:12" x14ac:dyDescent="0.25">
      <c r="A17" s="81" t="s">
        <v>220</v>
      </c>
      <c r="B17" s="84" t="s">
        <v>1237</v>
      </c>
      <c r="C17" s="83" t="s">
        <v>111</v>
      </c>
      <c r="D17" s="83" t="s">
        <v>1249</v>
      </c>
      <c r="E17" t="s">
        <v>1271</v>
      </c>
      <c r="F17">
        <v>5200</v>
      </c>
      <c r="G17">
        <v>635</v>
      </c>
      <c r="H17">
        <v>840</v>
      </c>
      <c r="I17">
        <v>375</v>
      </c>
      <c r="J17">
        <v>1850</v>
      </c>
      <c r="K17">
        <v>250</v>
      </c>
      <c r="L17">
        <v>2100</v>
      </c>
    </row>
    <row r="18" spans="1:12" x14ac:dyDescent="0.25">
      <c r="A18" s="81" t="s">
        <v>230</v>
      </c>
      <c r="B18" s="84" t="s">
        <v>1238</v>
      </c>
      <c r="C18" s="83" t="s">
        <v>1262</v>
      </c>
      <c r="D18" s="83" t="s">
        <v>1249</v>
      </c>
      <c r="E18" t="s">
        <v>1271</v>
      </c>
      <c r="F18">
        <v>1200</v>
      </c>
      <c r="G18">
        <v>147</v>
      </c>
      <c r="H18">
        <v>245</v>
      </c>
      <c r="I18">
        <v>98</v>
      </c>
      <c r="J18">
        <v>490</v>
      </c>
      <c r="K18">
        <v>120</v>
      </c>
      <c r="L18">
        <v>610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J19"/>
  <sheetViews>
    <sheetView workbookViewId="0">
      <pane xSplit="1" ySplit="2" topLeftCell="B3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ColWidth="9.140625" defaultRowHeight="15" x14ac:dyDescent="0.25"/>
  <cols>
    <col min="1" max="1" width="9.140625" style="8"/>
    <col min="2" max="2" width="15.140625" style="8" customWidth="1"/>
    <col min="3" max="16384" width="9.140625" style="8"/>
  </cols>
  <sheetData>
    <row r="2" spans="1:88" s="11" customFormat="1" ht="204.75" x14ac:dyDescent="0.25">
      <c r="B2" s="88" t="s">
        <v>18</v>
      </c>
      <c r="C2" s="88" t="s">
        <v>1138</v>
      </c>
      <c r="D2" s="88" t="s">
        <v>1139</v>
      </c>
      <c r="E2" s="88" t="s">
        <v>19</v>
      </c>
      <c r="F2" s="88" t="s">
        <v>20</v>
      </c>
      <c r="G2" s="88" t="s">
        <v>21</v>
      </c>
      <c r="H2" s="88" t="s">
        <v>23</v>
      </c>
      <c r="I2" s="92" t="s">
        <v>1133</v>
      </c>
      <c r="J2" s="92" t="s">
        <v>22</v>
      </c>
      <c r="K2" s="92" t="s">
        <v>1134</v>
      </c>
      <c r="L2" s="93" t="s">
        <v>17</v>
      </c>
      <c r="M2" s="88" t="s">
        <v>1140</v>
      </c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</row>
    <row r="3" spans="1:88" x14ac:dyDescent="0.25">
      <c r="A3" s="80" t="s">
        <v>171</v>
      </c>
      <c r="B3" s="89">
        <v>126968</v>
      </c>
      <c r="C3" s="89">
        <v>113624</v>
      </c>
      <c r="D3" s="89">
        <v>120208</v>
      </c>
      <c r="E3" s="89">
        <v>105697</v>
      </c>
      <c r="F3" s="89">
        <v>103381</v>
      </c>
      <c r="G3" s="8">
        <v>0.9</v>
      </c>
      <c r="H3" s="89">
        <v>0.89</v>
      </c>
      <c r="I3" s="89">
        <v>0.11</v>
      </c>
      <c r="J3" s="89">
        <v>0.78</v>
      </c>
      <c r="K3" s="89">
        <v>125648</v>
      </c>
      <c r="L3" s="8">
        <v>46.9</v>
      </c>
      <c r="M3" s="8">
        <v>53.1</v>
      </c>
    </row>
    <row r="4" spans="1:88" ht="14.45" x14ac:dyDescent="0.35">
      <c r="A4" s="80" t="s">
        <v>322</v>
      </c>
      <c r="B4" s="89">
        <v>44890</v>
      </c>
      <c r="C4" s="89">
        <v>41675</v>
      </c>
      <c r="D4" s="89">
        <v>43518</v>
      </c>
      <c r="E4" s="89">
        <v>37187</v>
      </c>
      <c r="F4" s="89">
        <v>28876</v>
      </c>
      <c r="G4" s="89">
        <v>0.5</v>
      </c>
      <c r="H4" s="89">
        <v>0.47</v>
      </c>
      <c r="I4" s="89">
        <v>0.04</v>
      </c>
      <c r="J4" s="89">
        <v>0.43</v>
      </c>
      <c r="K4" s="89">
        <v>44542</v>
      </c>
      <c r="L4" s="89">
        <v>71.099999999999994</v>
      </c>
      <c r="M4" s="89">
        <v>28.900000000000006</v>
      </c>
    </row>
    <row r="5" spans="1:88" x14ac:dyDescent="0.25">
      <c r="A5" s="80" t="s">
        <v>125</v>
      </c>
      <c r="B5" s="89">
        <v>80259</v>
      </c>
      <c r="C5" s="89">
        <v>68455</v>
      </c>
      <c r="D5" s="89">
        <v>73503</v>
      </c>
      <c r="E5" s="89">
        <v>58276</v>
      </c>
      <c r="F5" s="89">
        <v>52391</v>
      </c>
      <c r="G5" s="89">
        <v>1.5</v>
      </c>
      <c r="H5" s="89">
        <v>1.62</v>
      </c>
      <c r="I5" s="89">
        <v>-0.24</v>
      </c>
      <c r="J5" s="89">
        <v>1.86</v>
      </c>
      <c r="K5" s="89">
        <v>79636</v>
      </c>
      <c r="L5" s="89">
        <v>55.1</v>
      </c>
      <c r="M5" s="89">
        <v>44.9</v>
      </c>
    </row>
    <row r="6" spans="1:88" x14ac:dyDescent="0.25">
      <c r="A6" s="80" t="s">
        <v>154</v>
      </c>
      <c r="B6" s="89">
        <v>13162</v>
      </c>
      <c r="C6" s="89">
        <v>12017</v>
      </c>
      <c r="D6" s="89">
        <v>12978</v>
      </c>
      <c r="E6" s="89">
        <v>10331</v>
      </c>
      <c r="F6" s="89">
        <v>9291</v>
      </c>
      <c r="G6" s="89">
        <v>0.2</v>
      </c>
      <c r="H6" s="89">
        <v>0.28000000000000003</v>
      </c>
      <c r="I6" s="89">
        <v>-0.38</v>
      </c>
      <c r="J6" s="89">
        <v>0.66</v>
      </c>
      <c r="K6" s="89">
        <v>13160</v>
      </c>
      <c r="L6" s="89">
        <v>71.5</v>
      </c>
      <c r="M6" s="89">
        <v>28.5</v>
      </c>
    </row>
    <row r="7" spans="1:88" ht="14.45" x14ac:dyDescent="0.35">
      <c r="A7" s="80" t="s">
        <v>311</v>
      </c>
      <c r="B7" s="89">
        <v>7985</v>
      </c>
      <c r="C7" s="89">
        <v>8467</v>
      </c>
      <c r="D7" s="89">
        <v>8029</v>
      </c>
      <c r="E7" s="89">
        <v>8467</v>
      </c>
      <c r="F7" s="89">
        <v>8749</v>
      </c>
      <c r="G7" s="89">
        <v>-0.1</v>
      </c>
      <c r="H7" s="89">
        <v>-0.05</v>
      </c>
      <c r="I7" s="89">
        <v>-0.87</v>
      </c>
      <c r="J7" s="89">
        <v>0.81</v>
      </c>
      <c r="K7" s="89">
        <v>8007</v>
      </c>
      <c r="L7" s="89">
        <v>36.299999999999997</v>
      </c>
      <c r="M7" s="89">
        <v>63.7</v>
      </c>
    </row>
    <row r="8" spans="1:88" ht="14.45" x14ac:dyDescent="0.35">
      <c r="A8" s="80" t="s">
        <v>189</v>
      </c>
      <c r="B8" s="89">
        <v>28135</v>
      </c>
      <c r="C8" s="89">
        <v>23275</v>
      </c>
      <c r="D8" s="89">
        <v>26532</v>
      </c>
      <c r="E8" s="89">
        <v>18010</v>
      </c>
      <c r="F8" s="89">
        <v>16652</v>
      </c>
      <c r="G8" s="89">
        <v>1</v>
      </c>
      <c r="H8" s="89">
        <v>1.03</v>
      </c>
      <c r="I8" s="89">
        <v>0.04</v>
      </c>
      <c r="J8" s="89">
        <v>1</v>
      </c>
      <c r="K8" s="89">
        <v>27932</v>
      </c>
      <c r="L8" s="89">
        <v>69.7</v>
      </c>
      <c r="M8" s="89">
        <v>30.299999999999997</v>
      </c>
    </row>
    <row r="9" spans="1:88" ht="14.45" x14ac:dyDescent="0.35">
      <c r="A9" s="80" t="s">
        <v>194</v>
      </c>
      <c r="B9" s="89">
        <v>49676</v>
      </c>
      <c r="C9" s="89">
        <v>43043</v>
      </c>
      <c r="D9" s="89">
        <v>46374</v>
      </c>
      <c r="E9" s="89">
        <v>37445</v>
      </c>
      <c r="F9" s="89">
        <v>29288</v>
      </c>
      <c r="G9" s="89">
        <v>1.2</v>
      </c>
      <c r="H9" s="89">
        <v>1.03</v>
      </c>
      <c r="I9" s="89">
        <v>0.19</v>
      </c>
      <c r="J9" s="89">
        <v>0.84</v>
      </c>
      <c r="K9" s="89">
        <v>48811</v>
      </c>
      <c r="L9" s="89">
        <v>80.5</v>
      </c>
      <c r="M9" s="89">
        <v>19.5</v>
      </c>
    </row>
    <row r="10" spans="1:88" ht="14.45" x14ac:dyDescent="0.35">
      <c r="A10" s="80" t="s">
        <v>143</v>
      </c>
      <c r="B10" s="89">
        <v>14528</v>
      </c>
      <c r="C10" s="89">
        <v>14263</v>
      </c>
      <c r="D10" s="89">
        <v>14706</v>
      </c>
      <c r="E10" s="89">
        <v>13582</v>
      </c>
      <c r="F10" s="89">
        <v>13477</v>
      </c>
      <c r="G10" s="89">
        <v>-0.2</v>
      </c>
      <c r="H10" s="89">
        <v>-0.1</v>
      </c>
      <c r="I10" s="89">
        <v>-0.63</v>
      </c>
      <c r="J10" s="89">
        <v>0.53</v>
      </c>
      <c r="K10" s="89">
        <v>14630</v>
      </c>
      <c r="L10" s="89">
        <v>57.4</v>
      </c>
      <c r="M10" s="89">
        <v>42.6</v>
      </c>
    </row>
    <row r="11" spans="1:88" ht="14.45" x14ac:dyDescent="0.35">
      <c r="A11" s="80" t="s">
        <v>277</v>
      </c>
      <c r="B11" s="89">
        <v>50939</v>
      </c>
      <c r="C11" s="89">
        <v>45876</v>
      </c>
      <c r="D11" s="89">
        <v>47890</v>
      </c>
      <c r="E11" s="89">
        <v>40461</v>
      </c>
      <c r="F11" s="89">
        <v>32306</v>
      </c>
      <c r="G11" s="89">
        <v>1</v>
      </c>
      <c r="H11" s="89">
        <v>1.07</v>
      </c>
      <c r="I11" s="89">
        <v>0.4</v>
      </c>
      <c r="J11" s="89">
        <v>0.67</v>
      </c>
      <c r="K11" s="89">
        <v>50496</v>
      </c>
      <c r="L11" s="89">
        <v>71.8</v>
      </c>
      <c r="M11" s="89">
        <v>28.200000000000003</v>
      </c>
    </row>
    <row r="12" spans="1:88" ht="14.45" x14ac:dyDescent="0.35">
      <c r="A12" s="80" t="s">
        <v>167</v>
      </c>
      <c r="B12" s="89">
        <v>20046</v>
      </c>
      <c r="C12" s="89">
        <v>20455</v>
      </c>
      <c r="D12" s="89">
        <v>20765</v>
      </c>
      <c r="E12" s="89">
        <v>18586</v>
      </c>
      <c r="F12" s="89">
        <v>18728</v>
      </c>
      <c r="G12" s="89">
        <v>-0.6</v>
      </c>
      <c r="H12" s="89">
        <v>-0.56999999999999995</v>
      </c>
      <c r="I12" s="89">
        <v>-0.8</v>
      </c>
      <c r="J12" s="89">
        <v>0.23</v>
      </c>
      <c r="K12" s="89">
        <v>20176</v>
      </c>
      <c r="L12" s="89">
        <v>61.1</v>
      </c>
      <c r="M12" s="89">
        <v>38.9</v>
      </c>
    </row>
    <row r="13" spans="1:88" ht="14.45" x14ac:dyDescent="0.35">
      <c r="A13" s="80" t="s">
        <v>377</v>
      </c>
      <c r="B13" s="89">
        <v>28610</v>
      </c>
      <c r="C13" s="89">
        <v>24246</v>
      </c>
      <c r="D13" s="89">
        <v>26981</v>
      </c>
      <c r="E13" s="89">
        <v>19155</v>
      </c>
      <c r="F13" s="89">
        <v>17141</v>
      </c>
      <c r="G13" s="89">
        <v>1</v>
      </c>
      <c r="H13" s="89">
        <v>0.91</v>
      </c>
      <c r="I13" s="89">
        <v>-0.02</v>
      </c>
      <c r="J13" s="89">
        <v>0.93</v>
      </c>
      <c r="K13" s="89">
        <v>28235</v>
      </c>
      <c r="L13" s="89">
        <v>75.3</v>
      </c>
      <c r="M13" s="89">
        <v>24.700000000000003</v>
      </c>
    </row>
    <row r="14" spans="1:88" ht="14.45" x14ac:dyDescent="0.35">
      <c r="A14" s="80" t="s">
        <v>108</v>
      </c>
      <c r="B14" s="89">
        <v>27377</v>
      </c>
      <c r="C14" s="89">
        <v>22774</v>
      </c>
      <c r="D14" s="89">
        <v>25644</v>
      </c>
      <c r="E14" s="89">
        <v>18274</v>
      </c>
      <c r="F14" s="89">
        <v>17349</v>
      </c>
      <c r="G14" s="89">
        <v>1.1000000000000001</v>
      </c>
      <c r="H14" s="89">
        <v>1.1399999999999999</v>
      </c>
      <c r="I14" s="89">
        <v>-0.16</v>
      </c>
      <c r="J14" s="89">
        <v>1.31</v>
      </c>
      <c r="K14" s="89">
        <v>27144</v>
      </c>
      <c r="L14" s="89">
        <v>72.8</v>
      </c>
      <c r="M14" s="89">
        <v>27.200000000000003</v>
      </c>
    </row>
    <row r="15" spans="1:88" x14ac:dyDescent="0.25">
      <c r="A15" s="80" t="s">
        <v>284</v>
      </c>
      <c r="B15" s="89">
        <v>14764</v>
      </c>
      <c r="C15" s="89">
        <v>13704</v>
      </c>
      <c r="D15" s="89">
        <v>14468</v>
      </c>
      <c r="E15" s="89">
        <v>11836</v>
      </c>
      <c r="F15" s="89">
        <v>12008</v>
      </c>
      <c r="G15" s="89">
        <v>0.3</v>
      </c>
      <c r="H15" s="89">
        <v>0.32</v>
      </c>
      <c r="I15" s="89">
        <v>-0.26</v>
      </c>
      <c r="J15" s="89">
        <v>0.57999999999999996</v>
      </c>
      <c r="K15" s="89">
        <v>14702</v>
      </c>
      <c r="L15" s="89">
        <v>56.1</v>
      </c>
      <c r="M15" s="89">
        <v>43.9</v>
      </c>
    </row>
    <row r="16" spans="1:88" x14ac:dyDescent="0.25">
      <c r="A16" s="80" t="s">
        <v>198</v>
      </c>
      <c r="B16" s="89">
        <v>17905</v>
      </c>
      <c r="C16" s="89">
        <v>16521</v>
      </c>
      <c r="D16" s="89">
        <v>17394</v>
      </c>
      <c r="E16" s="89">
        <v>14863</v>
      </c>
      <c r="F16" s="89">
        <v>14344</v>
      </c>
      <c r="G16" s="89">
        <v>0.5</v>
      </c>
      <c r="H16" s="89">
        <v>0.47</v>
      </c>
      <c r="I16" s="89">
        <v>-0.56999999999999995</v>
      </c>
      <c r="J16" s="89">
        <v>1.04</v>
      </c>
      <c r="K16" s="89">
        <v>17810</v>
      </c>
      <c r="L16" s="89">
        <v>67.5</v>
      </c>
      <c r="M16" s="89">
        <v>32.5</v>
      </c>
    </row>
    <row r="17" spans="1:13" x14ac:dyDescent="0.25">
      <c r="A17" s="80" t="s">
        <v>178</v>
      </c>
      <c r="B17" s="89">
        <v>40294</v>
      </c>
      <c r="C17" s="89">
        <v>32298</v>
      </c>
      <c r="D17" s="89">
        <v>35566</v>
      </c>
      <c r="E17" s="89">
        <v>25496</v>
      </c>
      <c r="F17" s="89">
        <v>21615</v>
      </c>
      <c r="G17" s="89">
        <v>2.1</v>
      </c>
      <c r="H17" s="89">
        <v>2.12</v>
      </c>
      <c r="I17" s="89">
        <v>0.37</v>
      </c>
      <c r="J17" s="89">
        <v>1.75</v>
      </c>
      <c r="K17" s="89">
        <v>39499</v>
      </c>
      <c r="L17" s="89">
        <v>77.400000000000006</v>
      </c>
      <c r="M17" s="89">
        <v>22.599999999999994</v>
      </c>
    </row>
    <row r="18" spans="1:13" x14ac:dyDescent="0.25">
      <c r="A18" s="80" t="s">
        <v>220</v>
      </c>
      <c r="B18" s="89">
        <v>491417</v>
      </c>
      <c r="C18" s="89">
        <v>409113</v>
      </c>
      <c r="D18" s="89">
        <v>441888</v>
      </c>
      <c r="E18" s="89">
        <v>366895</v>
      </c>
      <c r="F18" s="89">
        <v>316259</v>
      </c>
      <c r="G18" s="89">
        <v>1.8</v>
      </c>
      <c r="H18" s="89">
        <v>1.72</v>
      </c>
      <c r="I18" s="89">
        <v>0.63</v>
      </c>
      <c r="J18" s="89">
        <v>1.1000000000000001</v>
      </c>
      <c r="K18" s="89">
        <v>481276</v>
      </c>
      <c r="L18" s="89">
        <v>48.6</v>
      </c>
      <c r="M18" s="89">
        <v>51.4</v>
      </c>
    </row>
    <row r="19" spans="1:13" x14ac:dyDescent="0.25">
      <c r="A19" s="80" t="s">
        <v>230</v>
      </c>
      <c r="B19" s="89">
        <v>126376</v>
      </c>
      <c r="C19" s="89">
        <v>118250</v>
      </c>
      <c r="D19" s="89">
        <v>123905</v>
      </c>
      <c r="E19" s="89">
        <v>100231</v>
      </c>
      <c r="F19" s="89">
        <v>91381</v>
      </c>
      <c r="G19" s="89">
        <v>0.3</v>
      </c>
      <c r="H19" s="89">
        <v>0.23</v>
      </c>
      <c r="I19" s="89">
        <v>-0.06</v>
      </c>
      <c r="J19" s="89">
        <v>0.28999999999999998</v>
      </c>
      <c r="K19" s="89">
        <v>125325</v>
      </c>
      <c r="L19" s="89">
        <v>57.8</v>
      </c>
      <c r="M19" s="89">
        <v>42.2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pane xSplit="1" ySplit="1" topLeftCell="B2" activePane="bottomRight" state="frozen"/>
      <selection activeCell="A13" sqref="A1:XFD1048576"/>
      <selection pane="topRight" activeCell="A13" sqref="A1:XFD1048576"/>
      <selection pane="bottomLeft" activeCell="A13" sqref="A1:XFD1048576"/>
      <selection pane="bottomRight" activeCell="G10" sqref="G10"/>
    </sheetView>
  </sheetViews>
  <sheetFormatPr baseColWidth="10" defaultColWidth="9.140625" defaultRowHeight="15" x14ac:dyDescent="0.25"/>
  <cols>
    <col min="2" max="8" width="19.42578125" customWidth="1"/>
    <col min="9" max="9" width="19.42578125" style="15" customWidth="1"/>
    <col min="10" max="11" width="19.42578125" customWidth="1"/>
  </cols>
  <sheetData>
    <row r="1" spans="1:11" ht="101.25" customHeight="1" x14ac:dyDescent="0.25">
      <c r="A1" s="91"/>
      <c r="B1" s="87" t="s">
        <v>24</v>
      </c>
      <c r="C1" s="87" t="s">
        <v>25</v>
      </c>
      <c r="D1" s="87" t="s">
        <v>26</v>
      </c>
      <c r="E1" s="87" t="s">
        <v>27</v>
      </c>
      <c r="F1" s="87" t="s">
        <v>28</v>
      </c>
      <c r="G1" s="3" t="s">
        <v>1141</v>
      </c>
      <c r="H1" s="3" t="s">
        <v>29</v>
      </c>
      <c r="I1" s="14" t="s">
        <v>30</v>
      </c>
      <c r="J1" s="3" t="s">
        <v>31</v>
      </c>
      <c r="K1" s="3" t="s">
        <v>32</v>
      </c>
    </row>
    <row r="2" spans="1:11" x14ac:dyDescent="0.25">
      <c r="A2" s="80" t="s">
        <v>171</v>
      </c>
      <c r="B2" s="89">
        <v>78655</v>
      </c>
      <c r="C2" s="89">
        <v>11012</v>
      </c>
      <c r="D2" s="89">
        <v>12.1</v>
      </c>
      <c r="E2" s="89">
        <v>14</v>
      </c>
      <c r="F2" s="89">
        <v>73.900000000000006</v>
      </c>
    </row>
    <row r="3" spans="1:11" ht="14.45" x14ac:dyDescent="0.35">
      <c r="A3" s="80" t="s">
        <v>322</v>
      </c>
      <c r="B3" s="89">
        <v>47724</v>
      </c>
      <c r="C3" s="89">
        <v>24339</v>
      </c>
      <c r="D3" s="89">
        <v>2.8</v>
      </c>
      <c r="E3" s="89">
        <v>51</v>
      </c>
      <c r="F3" s="89">
        <v>46.2</v>
      </c>
    </row>
    <row r="4" spans="1:11" x14ac:dyDescent="0.25">
      <c r="A4" s="80" t="s">
        <v>125</v>
      </c>
      <c r="B4" s="89">
        <v>83599</v>
      </c>
      <c r="C4" s="89">
        <v>41967</v>
      </c>
      <c r="D4" s="89">
        <v>5.0999999999999996</v>
      </c>
      <c r="E4" s="89">
        <v>50.2</v>
      </c>
      <c r="F4" s="89">
        <v>44.7</v>
      </c>
    </row>
    <row r="5" spans="1:11" x14ac:dyDescent="0.25">
      <c r="A5" s="80" t="s">
        <v>154</v>
      </c>
      <c r="B5" s="89">
        <v>8582</v>
      </c>
      <c r="C5" s="89">
        <v>1536</v>
      </c>
      <c r="D5" s="89">
        <v>8.8000000000000007</v>
      </c>
      <c r="E5" s="89">
        <v>17.899999999999999</v>
      </c>
      <c r="F5" s="89">
        <v>73.3</v>
      </c>
    </row>
    <row r="6" spans="1:11" ht="14.45" x14ac:dyDescent="0.35">
      <c r="A6" s="80" t="s">
        <v>311</v>
      </c>
      <c r="B6" s="89">
        <v>8734</v>
      </c>
      <c r="C6" s="89">
        <v>4446</v>
      </c>
      <c r="D6" s="89">
        <v>6.5</v>
      </c>
      <c r="E6" s="89">
        <v>50.9</v>
      </c>
      <c r="F6" s="89">
        <v>42.7</v>
      </c>
    </row>
    <row r="7" spans="1:11" ht="14.45" x14ac:dyDescent="0.35">
      <c r="A7" s="80" t="s">
        <v>189</v>
      </c>
      <c r="B7" s="89">
        <v>14913</v>
      </c>
      <c r="C7" s="89">
        <v>1268</v>
      </c>
      <c r="D7" s="89">
        <v>10.199999999999999</v>
      </c>
      <c r="E7" s="89">
        <v>8.5</v>
      </c>
      <c r="F7" s="89">
        <v>81.3</v>
      </c>
    </row>
    <row r="8" spans="1:11" ht="14.45" x14ac:dyDescent="0.35">
      <c r="A8" s="80" t="s">
        <v>194</v>
      </c>
      <c r="B8" s="89">
        <v>22148</v>
      </c>
      <c r="C8" s="89">
        <v>1130</v>
      </c>
      <c r="D8" s="89">
        <v>4.8</v>
      </c>
      <c r="E8" s="89">
        <v>5.0999999999999996</v>
      </c>
      <c r="F8" s="89">
        <v>90.1</v>
      </c>
    </row>
    <row r="9" spans="1:11" ht="14.45" x14ac:dyDescent="0.35">
      <c r="A9" s="80" t="s">
        <v>143</v>
      </c>
      <c r="B9" s="89">
        <v>12565</v>
      </c>
      <c r="C9" s="89">
        <v>3782</v>
      </c>
      <c r="D9" s="89">
        <v>12.5</v>
      </c>
      <c r="E9" s="89">
        <v>30.1</v>
      </c>
      <c r="F9" s="89">
        <v>57.5</v>
      </c>
    </row>
    <row r="10" spans="1:11" ht="14.45" x14ac:dyDescent="0.35">
      <c r="A10" s="80" t="s">
        <v>277</v>
      </c>
      <c r="B10" s="89">
        <v>23620</v>
      </c>
      <c r="C10" s="89">
        <v>803</v>
      </c>
      <c r="D10" s="89">
        <v>6.9</v>
      </c>
      <c r="E10" s="89">
        <v>3.4</v>
      </c>
      <c r="F10" s="89">
        <v>89.7</v>
      </c>
    </row>
    <row r="11" spans="1:11" ht="14.45" x14ac:dyDescent="0.35">
      <c r="A11" s="80" t="s">
        <v>167</v>
      </c>
      <c r="B11" s="89">
        <v>15944</v>
      </c>
      <c r="C11" s="89">
        <v>3954</v>
      </c>
      <c r="D11" s="89">
        <v>13.5</v>
      </c>
      <c r="E11" s="89">
        <v>24.8</v>
      </c>
      <c r="F11" s="89">
        <v>61.7</v>
      </c>
    </row>
    <row r="12" spans="1:11" ht="14.45" x14ac:dyDescent="0.35">
      <c r="A12" s="80" t="s">
        <v>377</v>
      </c>
      <c r="B12" s="89">
        <v>15415</v>
      </c>
      <c r="C12" s="89">
        <v>2189</v>
      </c>
      <c r="D12" s="89">
        <v>7.1</v>
      </c>
      <c r="E12" s="89">
        <v>14.2</v>
      </c>
      <c r="F12" s="89">
        <v>78.8</v>
      </c>
    </row>
    <row r="13" spans="1:11" ht="14.45" x14ac:dyDescent="0.35">
      <c r="A13" s="80" t="s">
        <v>108</v>
      </c>
      <c r="B13" s="89">
        <v>15650</v>
      </c>
      <c r="C13" s="89">
        <v>2363</v>
      </c>
      <c r="D13" s="89">
        <v>9.5</v>
      </c>
      <c r="E13" s="89">
        <v>15.1</v>
      </c>
      <c r="F13" s="89">
        <v>75.400000000000006</v>
      </c>
    </row>
    <row r="14" spans="1:11" x14ac:dyDescent="0.25">
      <c r="A14" s="80" t="s">
        <v>284</v>
      </c>
      <c r="B14" s="89">
        <v>9424</v>
      </c>
      <c r="C14" s="89">
        <v>1593</v>
      </c>
      <c r="D14" s="89">
        <v>10.6</v>
      </c>
      <c r="E14" s="89">
        <v>16.899999999999999</v>
      </c>
      <c r="F14" s="89">
        <v>72.5</v>
      </c>
    </row>
    <row r="15" spans="1:11" x14ac:dyDescent="0.25">
      <c r="A15" s="80" t="s">
        <v>198</v>
      </c>
      <c r="B15" s="89">
        <v>11232</v>
      </c>
      <c r="C15" s="89">
        <v>1943</v>
      </c>
      <c r="D15" s="89">
        <v>10.8</v>
      </c>
      <c r="E15" s="89">
        <v>17.3</v>
      </c>
      <c r="F15" s="89">
        <v>71.900000000000006</v>
      </c>
    </row>
    <row r="16" spans="1:11" x14ac:dyDescent="0.25">
      <c r="A16" s="80" t="s">
        <v>178</v>
      </c>
      <c r="B16" s="89">
        <v>19611</v>
      </c>
      <c r="C16" s="89">
        <v>1334</v>
      </c>
      <c r="D16" s="89">
        <v>10</v>
      </c>
      <c r="E16" s="89">
        <v>6.8</v>
      </c>
      <c r="F16" s="89">
        <v>83.2</v>
      </c>
    </row>
    <row r="17" spans="1:6" x14ac:dyDescent="0.25">
      <c r="A17" s="80" t="s">
        <v>220</v>
      </c>
      <c r="B17" s="89">
        <v>262337</v>
      </c>
      <c r="C17" s="89">
        <v>9969</v>
      </c>
      <c r="D17" s="89">
        <v>6.9</v>
      </c>
      <c r="E17" s="89">
        <v>3.8</v>
      </c>
      <c r="F17" s="89">
        <v>89.3</v>
      </c>
    </row>
    <row r="18" spans="1:6" x14ac:dyDescent="0.25">
      <c r="A18" s="80" t="s">
        <v>230</v>
      </c>
      <c r="B18" s="89">
        <v>87057</v>
      </c>
      <c r="C18" s="89">
        <v>22983</v>
      </c>
      <c r="D18" s="89">
        <v>5.5</v>
      </c>
      <c r="E18" s="89">
        <v>26.4</v>
      </c>
      <c r="F18" s="89">
        <v>68.099999999999994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M3" sqref="M3"/>
    </sheetView>
  </sheetViews>
  <sheetFormatPr baseColWidth="10" defaultRowHeight="15" x14ac:dyDescent="0.25"/>
  <cols>
    <col min="1" max="1" width="32.140625" customWidth="1"/>
    <col min="2" max="2" width="20" bestFit="1" customWidth="1"/>
    <col min="3" max="3" width="26.5703125" customWidth="1"/>
    <col min="4" max="5" width="20" bestFit="1" customWidth="1"/>
  </cols>
  <sheetData>
    <row r="1" spans="1:4" x14ac:dyDescent="0.25">
      <c r="A1" s="104" t="s">
        <v>35</v>
      </c>
      <c r="B1" s="85" t="s">
        <v>1288</v>
      </c>
    </row>
    <row r="3" spans="1:4" x14ac:dyDescent="0.25">
      <c r="A3" s="104" t="s">
        <v>1158</v>
      </c>
      <c r="B3" s="85" t="s">
        <v>1284</v>
      </c>
      <c r="C3" s="85" t="s">
        <v>1286</v>
      </c>
      <c r="D3" s="85" t="s">
        <v>1287</v>
      </c>
    </row>
    <row r="4" spans="1:4" x14ac:dyDescent="0.25">
      <c r="A4" s="96" t="s">
        <v>171</v>
      </c>
      <c r="B4" s="97">
        <v>6</v>
      </c>
      <c r="C4" s="97">
        <v>3724</v>
      </c>
      <c r="D4" s="97">
        <v>8350</v>
      </c>
    </row>
    <row r="5" spans="1:4" x14ac:dyDescent="0.25">
      <c r="A5" s="96" t="s">
        <v>125</v>
      </c>
      <c r="B5" s="97">
        <v>6</v>
      </c>
      <c r="C5" s="97">
        <v>4494</v>
      </c>
      <c r="D5" s="97">
        <v>2612</v>
      </c>
    </row>
    <row r="6" spans="1:4" ht="14.45" x14ac:dyDescent="0.35">
      <c r="A6" s="96" t="s">
        <v>194</v>
      </c>
      <c r="B6" s="97">
        <v>2</v>
      </c>
      <c r="C6" s="97">
        <v>1071</v>
      </c>
      <c r="D6" s="97">
        <v>203</v>
      </c>
    </row>
    <row r="7" spans="1:4" ht="14.45" x14ac:dyDescent="0.35">
      <c r="A7" s="96" t="s">
        <v>277</v>
      </c>
      <c r="B7" s="97">
        <v>3</v>
      </c>
      <c r="C7" s="97">
        <v>1579</v>
      </c>
      <c r="D7" s="97">
        <v>2218</v>
      </c>
    </row>
    <row r="8" spans="1:4" ht="14.45" x14ac:dyDescent="0.35">
      <c r="A8" s="96" t="s">
        <v>377</v>
      </c>
      <c r="B8" s="97">
        <v>1</v>
      </c>
      <c r="C8" s="97">
        <v>291</v>
      </c>
      <c r="D8" s="97">
        <v>176</v>
      </c>
    </row>
    <row r="9" spans="1:4" x14ac:dyDescent="0.25">
      <c r="A9" s="96" t="s">
        <v>220</v>
      </c>
      <c r="B9" s="97">
        <v>20</v>
      </c>
      <c r="C9" s="97">
        <v>9984</v>
      </c>
      <c r="D9" s="97">
        <v>38505</v>
      </c>
    </row>
    <row r="10" spans="1:4" x14ac:dyDescent="0.25">
      <c r="A10" s="96" t="s">
        <v>230</v>
      </c>
      <c r="B10" s="97">
        <v>8</v>
      </c>
      <c r="C10" s="97">
        <v>5348</v>
      </c>
      <c r="D10" s="97">
        <v>7506</v>
      </c>
    </row>
    <row r="11" spans="1:4" x14ac:dyDescent="0.25">
      <c r="A11" s="96" t="s">
        <v>1182</v>
      </c>
      <c r="B11" s="97">
        <v>46</v>
      </c>
      <c r="C11" s="97">
        <v>26491</v>
      </c>
      <c r="D11" s="97">
        <v>59570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3"/>
  <sheetViews>
    <sheetView workbookViewId="0">
      <pane xSplit="2" ySplit="1" topLeftCell="C2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x14ac:dyDescent="0.25"/>
  <cols>
    <col min="3" max="3" width="10.85546875" style="85"/>
  </cols>
  <sheetData>
    <row r="1" spans="1:45" ht="105" x14ac:dyDescent="0.25">
      <c r="A1" t="s">
        <v>0</v>
      </c>
      <c r="B1" t="s">
        <v>1</v>
      </c>
      <c r="C1" s="85" t="s">
        <v>1285</v>
      </c>
      <c r="D1" s="87" t="s">
        <v>33</v>
      </c>
      <c r="E1" s="87" t="s">
        <v>34</v>
      </c>
      <c r="F1" s="87" t="s">
        <v>35</v>
      </c>
      <c r="G1" s="87" t="s">
        <v>36</v>
      </c>
      <c r="H1" s="87" t="s">
        <v>37</v>
      </c>
      <c r="I1" s="87" t="s">
        <v>38</v>
      </c>
      <c r="J1" s="87" t="s">
        <v>39</v>
      </c>
      <c r="K1" s="87" t="s">
        <v>40</v>
      </c>
      <c r="L1" s="87" t="s">
        <v>41</v>
      </c>
      <c r="M1" s="87" t="s">
        <v>42</v>
      </c>
      <c r="N1" s="87" t="s">
        <v>43</v>
      </c>
      <c r="O1" s="87" t="s">
        <v>44</v>
      </c>
      <c r="P1" s="87" t="s">
        <v>45</v>
      </c>
      <c r="Q1" s="87" t="s">
        <v>46</v>
      </c>
      <c r="R1" s="87" t="s">
        <v>47</v>
      </c>
      <c r="S1" s="87" t="s">
        <v>48</v>
      </c>
      <c r="T1" s="87" t="s">
        <v>49</v>
      </c>
      <c r="U1" s="87" t="s">
        <v>50</v>
      </c>
      <c r="V1" s="87" t="s">
        <v>51</v>
      </c>
      <c r="W1" s="87" t="s">
        <v>52</v>
      </c>
      <c r="X1" s="87" t="s">
        <v>53</v>
      </c>
      <c r="Y1" s="87" t="s">
        <v>54</v>
      </c>
      <c r="Z1" s="87" t="s">
        <v>55</v>
      </c>
      <c r="AA1" s="87" t="s">
        <v>56</v>
      </c>
      <c r="AB1" s="87" t="s">
        <v>57</v>
      </c>
      <c r="AC1" s="87" t="s">
        <v>58</v>
      </c>
      <c r="AD1" s="87" t="s">
        <v>59</v>
      </c>
      <c r="AE1" s="87" t="s">
        <v>60</v>
      </c>
      <c r="AF1" s="87" t="s">
        <v>61</v>
      </c>
      <c r="AG1" s="87" t="s">
        <v>62</v>
      </c>
      <c r="AH1" s="87" t="s">
        <v>63</v>
      </c>
      <c r="AI1" s="87" t="s">
        <v>64</v>
      </c>
      <c r="AJ1" s="87" t="s">
        <v>65</v>
      </c>
      <c r="AK1" s="87" t="s">
        <v>66</v>
      </c>
      <c r="AL1" s="87" t="s">
        <v>67</v>
      </c>
      <c r="AM1" s="87" t="s">
        <v>68</v>
      </c>
      <c r="AN1" s="87" t="s">
        <v>69</v>
      </c>
      <c r="AO1" s="87" t="s">
        <v>70</v>
      </c>
      <c r="AP1" s="87" t="s">
        <v>71</v>
      </c>
      <c r="AQ1" s="87" t="s">
        <v>98</v>
      </c>
      <c r="AR1" s="87" t="s">
        <v>99</v>
      </c>
      <c r="AS1" s="87" t="s">
        <v>1254</v>
      </c>
    </row>
    <row r="2" spans="1:45" x14ac:dyDescent="0.25">
      <c r="A2">
        <v>34151</v>
      </c>
      <c r="B2" t="s">
        <v>628</v>
      </c>
      <c r="C2" s="85" t="str">
        <f>VLOOKUP(A2,ADM!$A$1:$N$343,14,0)</f>
        <v>CC du Pays de Lunel</v>
      </c>
      <c r="D2">
        <v>267</v>
      </c>
      <c r="E2">
        <v>497</v>
      </c>
      <c r="F2" t="s">
        <v>630</v>
      </c>
      <c r="G2" t="s">
        <v>631</v>
      </c>
      <c r="H2">
        <v>243</v>
      </c>
      <c r="I2" t="s">
        <v>114</v>
      </c>
      <c r="J2">
        <v>6</v>
      </c>
      <c r="K2">
        <v>7.5</v>
      </c>
      <c r="L2">
        <v>18</v>
      </c>
      <c r="M2">
        <v>7</v>
      </c>
      <c r="N2">
        <v>36</v>
      </c>
      <c r="O2">
        <v>60</v>
      </c>
      <c r="P2">
        <v>36</v>
      </c>
      <c r="Q2">
        <v>0</v>
      </c>
      <c r="R2">
        <v>42</v>
      </c>
      <c r="S2">
        <v>120</v>
      </c>
      <c r="T2">
        <v>72</v>
      </c>
      <c r="U2">
        <v>9</v>
      </c>
      <c r="V2">
        <v>0.41320000000000001</v>
      </c>
      <c r="W2">
        <v>7.0247999999999999</v>
      </c>
      <c r="X2" s="1">
        <v>0.08</v>
      </c>
      <c r="Y2">
        <v>144</v>
      </c>
      <c r="Z2">
        <v>9</v>
      </c>
      <c r="AA2">
        <v>153</v>
      </c>
      <c r="AB2">
        <v>16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25</v>
      </c>
      <c r="AM2">
        <v>0</v>
      </c>
      <c r="AN2">
        <v>0</v>
      </c>
      <c r="AO2">
        <v>0</v>
      </c>
      <c r="AP2">
        <v>3</v>
      </c>
      <c r="AQ2" t="s">
        <v>632</v>
      </c>
      <c r="AR2" t="s">
        <v>633</v>
      </c>
      <c r="AS2">
        <v>1</v>
      </c>
    </row>
    <row r="3" spans="1:45" x14ac:dyDescent="0.25">
      <c r="A3">
        <v>34324</v>
      </c>
      <c r="B3" t="s">
        <v>1074</v>
      </c>
      <c r="C3" s="85" t="str">
        <f>VLOOKUP(A3,ADM!$A$1:$N$343,14,0)</f>
        <v>CA de Béziers-Méditerranée</v>
      </c>
      <c r="D3">
        <v>60</v>
      </c>
      <c r="E3">
        <v>722</v>
      </c>
      <c r="F3" t="s">
        <v>630</v>
      </c>
      <c r="G3" t="s">
        <v>1076</v>
      </c>
      <c r="H3">
        <v>53</v>
      </c>
      <c r="I3" t="s">
        <v>114</v>
      </c>
      <c r="J3" t="s">
        <v>114</v>
      </c>
      <c r="K3">
        <v>18.5</v>
      </c>
      <c r="L3">
        <v>5</v>
      </c>
      <c r="M3">
        <v>10</v>
      </c>
      <c r="N3">
        <v>29</v>
      </c>
      <c r="O3">
        <v>37</v>
      </c>
      <c r="P3">
        <v>15</v>
      </c>
      <c r="Q3">
        <v>0</v>
      </c>
      <c r="R3">
        <v>10</v>
      </c>
      <c r="S3">
        <v>20</v>
      </c>
      <c r="T3">
        <v>23</v>
      </c>
      <c r="U3">
        <v>0</v>
      </c>
      <c r="V3">
        <v>0</v>
      </c>
      <c r="W3">
        <v>11.538500000000001</v>
      </c>
      <c r="X3" s="1">
        <v>0.02</v>
      </c>
      <c r="Y3">
        <v>100</v>
      </c>
      <c r="Z3">
        <v>7</v>
      </c>
      <c r="AA3">
        <v>102</v>
      </c>
      <c r="AB3">
        <v>5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3</v>
      </c>
      <c r="AQ3" t="s">
        <v>1077</v>
      </c>
      <c r="AR3" t="s">
        <v>1078</v>
      </c>
      <c r="AS3">
        <v>1</v>
      </c>
    </row>
    <row r="4" spans="1:45" x14ac:dyDescent="0.25">
      <c r="A4">
        <v>34003</v>
      </c>
      <c r="B4" t="s">
        <v>128</v>
      </c>
      <c r="C4" s="85" t="str">
        <f>VLOOKUP(A4,ADM!$A$1:$N$343,14,0)</f>
        <v>CA Hérault-Méditerranée</v>
      </c>
      <c r="D4">
        <v>1547</v>
      </c>
      <c r="E4">
        <v>2890</v>
      </c>
      <c r="F4" t="s">
        <v>133</v>
      </c>
      <c r="G4" t="s">
        <v>134</v>
      </c>
      <c r="H4">
        <v>1204</v>
      </c>
      <c r="I4">
        <v>50</v>
      </c>
      <c r="J4">
        <v>15.33333333</v>
      </c>
      <c r="K4">
        <v>4.3725490200000001</v>
      </c>
      <c r="L4">
        <v>5.1891891890000004</v>
      </c>
      <c r="M4">
        <v>50</v>
      </c>
      <c r="N4">
        <v>322</v>
      </c>
      <c r="O4">
        <v>223</v>
      </c>
      <c r="P4">
        <v>192</v>
      </c>
      <c r="Q4">
        <v>18</v>
      </c>
      <c r="R4">
        <v>248</v>
      </c>
      <c r="S4">
        <v>515</v>
      </c>
      <c r="T4">
        <v>372</v>
      </c>
      <c r="U4">
        <v>51</v>
      </c>
      <c r="V4">
        <v>0.58919999999999995</v>
      </c>
      <c r="W4">
        <v>7.6588000000000003</v>
      </c>
      <c r="X4" s="1">
        <v>0.08</v>
      </c>
      <c r="Y4">
        <v>926</v>
      </c>
      <c r="Z4">
        <v>65</v>
      </c>
      <c r="AA4">
        <v>906</v>
      </c>
      <c r="AB4">
        <v>110</v>
      </c>
      <c r="AC4">
        <v>20</v>
      </c>
      <c r="AD4">
        <v>50</v>
      </c>
      <c r="AE4">
        <v>0</v>
      </c>
      <c r="AF4">
        <v>0</v>
      </c>
      <c r="AG4">
        <v>0</v>
      </c>
      <c r="AH4">
        <v>8</v>
      </c>
      <c r="AI4">
        <v>0</v>
      </c>
      <c r="AJ4">
        <v>0</v>
      </c>
      <c r="AK4">
        <v>23</v>
      </c>
      <c r="AL4">
        <v>35</v>
      </c>
      <c r="AM4">
        <v>81</v>
      </c>
      <c r="AN4">
        <v>75</v>
      </c>
      <c r="AO4">
        <v>50</v>
      </c>
      <c r="AP4">
        <v>3</v>
      </c>
      <c r="AQ4" t="s">
        <v>136</v>
      </c>
      <c r="AR4" t="s">
        <v>137</v>
      </c>
      <c r="AS4">
        <v>1</v>
      </c>
    </row>
    <row r="5" spans="1:45" x14ac:dyDescent="0.25">
      <c r="A5">
        <v>34022</v>
      </c>
      <c r="B5" t="s">
        <v>214</v>
      </c>
      <c r="C5" s="85" t="str">
        <f>VLOOKUP(A5,ADM!$A$1:$N$343,14,0)</f>
        <v>Montpellier Méditerranée Métropole</v>
      </c>
      <c r="D5">
        <v>524</v>
      </c>
      <c r="E5">
        <v>292</v>
      </c>
      <c r="F5" t="s">
        <v>133</v>
      </c>
      <c r="G5" t="s">
        <v>222</v>
      </c>
      <c r="H5">
        <v>331</v>
      </c>
      <c r="I5" t="s">
        <v>114</v>
      </c>
      <c r="J5">
        <v>5.6428571429999996</v>
      </c>
      <c r="K5">
        <v>4.125</v>
      </c>
      <c r="L5">
        <v>6.5714285710000002</v>
      </c>
      <c r="M5">
        <v>17</v>
      </c>
      <c r="N5">
        <v>79</v>
      </c>
      <c r="O5">
        <v>66</v>
      </c>
      <c r="P5">
        <v>46</v>
      </c>
      <c r="Q5">
        <v>1</v>
      </c>
      <c r="R5">
        <v>103</v>
      </c>
      <c r="S5">
        <v>142</v>
      </c>
      <c r="T5">
        <v>75</v>
      </c>
      <c r="U5">
        <v>10</v>
      </c>
      <c r="V5">
        <v>0.3049</v>
      </c>
      <c r="W5">
        <v>6.5574000000000003</v>
      </c>
      <c r="X5" s="1">
        <v>0.1</v>
      </c>
      <c r="Y5">
        <v>209</v>
      </c>
      <c r="Z5">
        <v>40</v>
      </c>
      <c r="AA5">
        <v>233</v>
      </c>
      <c r="AB5">
        <v>37</v>
      </c>
      <c r="AC5">
        <v>0</v>
      </c>
      <c r="AD5">
        <v>66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17</v>
      </c>
      <c r="AM5">
        <v>2</v>
      </c>
      <c r="AN5">
        <v>120</v>
      </c>
      <c r="AO5">
        <v>0</v>
      </c>
      <c r="AP5">
        <v>3</v>
      </c>
      <c r="AQ5" t="s">
        <v>223</v>
      </c>
      <c r="AR5" t="s">
        <v>224</v>
      </c>
      <c r="AS5">
        <v>1</v>
      </c>
    </row>
    <row r="6" spans="1:45" x14ac:dyDescent="0.25">
      <c r="A6">
        <v>34095</v>
      </c>
      <c r="B6" t="s">
        <v>457</v>
      </c>
      <c r="C6" s="85" t="str">
        <f>VLOOKUP(A6,ADM!$A$1:$N$343,14,0)</f>
        <v>Montpellier Méditerranée Métropole</v>
      </c>
      <c r="D6">
        <v>188</v>
      </c>
      <c r="E6">
        <v>601</v>
      </c>
      <c r="F6" t="s">
        <v>133</v>
      </c>
      <c r="G6" t="s">
        <v>459</v>
      </c>
      <c r="H6">
        <v>161</v>
      </c>
      <c r="I6" t="s">
        <v>114</v>
      </c>
      <c r="J6">
        <v>4.4000000000000004</v>
      </c>
      <c r="K6">
        <v>3.7857142860000002</v>
      </c>
      <c r="L6">
        <v>5.3333333329999997</v>
      </c>
      <c r="M6">
        <v>4</v>
      </c>
      <c r="N6">
        <v>44</v>
      </c>
      <c r="O6">
        <v>53</v>
      </c>
      <c r="P6">
        <v>32</v>
      </c>
      <c r="Q6">
        <v>0</v>
      </c>
      <c r="R6">
        <v>60</v>
      </c>
      <c r="S6">
        <v>66</v>
      </c>
      <c r="T6">
        <v>28</v>
      </c>
      <c r="U6">
        <v>7</v>
      </c>
      <c r="V6">
        <v>0.62890000000000001</v>
      </c>
      <c r="W6">
        <v>13.103400000000001</v>
      </c>
      <c r="X6" s="1">
        <v>0.05</v>
      </c>
      <c r="Y6">
        <v>127</v>
      </c>
      <c r="Z6">
        <v>7</v>
      </c>
      <c r="AA6">
        <v>157</v>
      </c>
      <c r="AB6">
        <v>30</v>
      </c>
      <c r="AC6">
        <v>0</v>
      </c>
      <c r="AD6">
        <v>34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62</v>
      </c>
      <c r="AO6">
        <v>0</v>
      </c>
      <c r="AP6">
        <v>3</v>
      </c>
      <c r="AQ6" t="s">
        <v>460</v>
      </c>
      <c r="AR6" t="s">
        <v>223</v>
      </c>
      <c r="AS6">
        <v>1</v>
      </c>
    </row>
    <row r="7" spans="1:45" x14ac:dyDescent="0.25">
      <c r="A7">
        <v>34108</v>
      </c>
      <c r="B7" t="s">
        <v>488</v>
      </c>
      <c r="C7" s="85" t="str">
        <f>VLOOKUP(A7,ADM!$A$1:$N$343,14,0)</f>
        <v>Sète Agglopôle Méditerranée</v>
      </c>
      <c r="D7">
        <v>1975</v>
      </c>
      <c r="E7">
        <v>892</v>
      </c>
      <c r="F7" t="s">
        <v>133</v>
      </c>
      <c r="G7" t="s">
        <v>490</v>
      </c>
      <c r="H7">
        <v>1825</v>
      </c>
      <c r="I7" t="s">
        <v>114</v>
      </c>
      <c r="J7">
        <v>8.0476190479999996</v>
      </c>
      <c r="K7">
        <v>4.3478260869999996</v>
      </c>
      <c r="L7">
        <v>5.4857142860000003</v>
      </c>
      <c r="M7">
        <v>68</v>
      </c>
      <c r="N7">
        <v>338</v>
      </c>
      <c r="O7">
        <v>300</v>
      </c>
      <c r="P7">
        <v>192</v>
      </c>
      <c r="Q7">
        <v>8</v>
      </c>
      <c r="R7">
        <v>276</v>
      </c>
      <c r="S7">
        <v>764</v>
      </c>
      <c r="T7">
        <v>590</v>
      </c>
      <c r="U7">
        <v>187</v>
      </c>
      <c r="V7">
        <v>0.83660000000000001</v>
      </c>
      <c r="W7">
        <v>6.1670999999999996</v>
      </c>
      <c r="X7" s="1">
        <v>0.18</v>
      </c>
      <c r="Y7">
        <v>1052</v>
      </c>
      <c r="Z7">
        <v>140</v>
      </c>
      <c r="AA7">
        <v>981</v>
      </c>
      <c r="AB7">
        <v>146</v>
      </c>
      <c r="AC7">
        <v>0</v>
      </c>
      <c r="AD7">
        <v>61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8</v>
      </c>
      <c r="AM7">
        <v>0</v>
      </c>
      <c r="AN7">
        <v>105</v>
      </c>
      <c r="AO7">
        <v>0</v>
      </c>
      <c r="AP7">
        <v>3</v>
      </c>
      <c r="AQ7" t="s">
        <v>491</v>
      </c>
      <c r="AR7" t="s">
        <v>492</v>
      </c>
      <c r="AS7">
        <v>1</v>
      </c>
    </row>
    <row r="8" spans="1:45" x14ac:dyDescent="0.25">
      <c r="A8">
        <v>34113</v>
      </c>
      <c r="B8" t="s">
        <v>504</v>
      </c>
      <c r="C8" s="85" t="str">
        <f>VLOOKUP(A8,ADM!$A$1:$N$343,14,0)</f>
        <v>Sète Agglopôle Méditerranée</v>
      </c>
      <c r="D8">
        <v>267</v>
      </c>
      <c r="E8">
        <v>411</v>
      </c>
      <c r="F8" t="s">
        <v>133</v>
      </c>
      <c r="G8" t="s">
        <v>506</v>
      </c>
      <c r="H8">
        <v>243</v>
      </c>
      <c r="I8" t="s">
        <v>114</v>
      </c>
      <c r="J8">
        <v>7.2</v>
      </c>
      <c r="K8">
        <v>9.1999999999999993</v>
      </c>
      <c r="L8">
        <v>11</v>
      </c>
      <c r="M8">
        <v>11</v>
      </c>
      <c r="N8">
        <v>36</v>
      </c>
      <c r="O8">
        <v>46</v>
      </c>
      <c r="P8">
        <v>44</v>
      </c>
      <c r="Q8">
        <v>0</v>
      </c>
      <c r="R8">
        <v>82</v>
      </c>
      <c r="S8">
        <v>87</v>
      </c>
      <c r="T8">
        <v>64</v>
      </c>
      <c r="U8">
        <v>10</v>
      </c>
      <c r="V8">
        <v>0.83330000000000004</v>
      </c>
      <c r="W8">
        <v>7.5</v>
      </c>
      <c r="X8" s="1">
        <v>0.09</v>
      </c>
      <c r="Y8">
        <v>117</v>
      </c>
      <c r="Z8">
        <v>21</v>
      </c>
      <c r="AA8">
        <v>148</v>
      </c>
      <c r="AB8">
        <v>14</v>
      </c>
      <c r="AC8">
        <v>0</v>
      </c>
      <c r="AD8">
        <v>61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17</v>
      </c>
      <c r="AM8">
        <v>0</v>
      </c>
      <c r="AN8">
        <v>109</v>
      </c>
      <c r="AO8">
        <v>10</v>
      </c>
      <c r="AP8">
        <v>3</v>
      </c>
      <c r="AQ8" t="s">
        <v>507</v>
      </c>
      <c r="AR8" t="s">
        <v>508</v>
      </c>
      <c r="AS8">
        <v>1</v>
      </c>
    </row>
    <row r="9" spans="1:45" x14ac:dyDescent="0.25">
      <c r="A9">
        <v>34148</v>
      </c>
      <c r="B9" t="s">
        <v>615</v>
      </c>
      <c r="C9" s="85" t="str">
        <f>VLOOKUP(A9,ADM!$A$1:$N$343,14,0)</f>
        <v>CC la Domitienne</v>
      </c>
      <c r="D9">
        <v>218</v>
      </c>
      <c r="E9">
        <v>291</v>
      </c>
      <c r="F9" t="s">
        <v>133</v>
      </c>
      <c r="G9" t="s">
        <v>617</v>
      </c>
      <c r="H9">
        <v>176</v>
      </c>
      <c r="I9" t="s">
        <v>114</v>
      </c>
      <c r="J9">
        <v>2.636363636</v>
      </c>
      <c r="K9">
        <v>1.2857142859999999</v>
      </c>
      <c r="L9">
        <v>1.6521739129999999</v>
      </c>
      <c r="M9">
        <v>9</v>
      </c>
      <c r="N9">
        <v>29</v>
      </c>
      <c r="O9">
        <v>36</v>
      </c>
      <c r="P9">
        <v>38</v>
      </c>
      <c r="Q9">
        <v>0</v>
      </c>
      <c r="R9">
        <v>34</v>
      </c>
      <c r="S9">
        <v>85</v>
      </c>
      <c r="T9">
        <v>52</v>
      </c>
      <c r="U9">
        <v>5</v>
      </c>
      <c r="V9">
        <v>1.1765000000000001</v>
      </c>
      <c r="W9">
        <v>10.2362</v>
      </c>
      <c r="X9" s="1">
        <v>0.09</v>
      </c>
      <c r="Y9">
        <v>146</v>
      </c>
      <c r="Z9">
        <v>15</v>
      </c>
      <c r="AA9">
        <v>121</v>
      </c>
      <c r="AB9">
        <v>62</v>
      </c>
      <c r="AC9">
        <v>0</v>
      </c>
      <c r="AD9">
        <v>38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76</v>
      </c>
      <c r="AO9">
        <v>0</v>
      </c>
      <c r="AP9">
        <v>3</v>
      </c>
      <c r="AQ9" t="s">
        <v>618</v>
      </c>
      <c r="AR9" t="s">
        <v>619</v>
      </c>
      <c r="AS9">
        <v>1</v>
      </c>
    </row>
    <row r="10" spans="1:45" x14ac:dyDescent="0.25">
      <c r="A10">
        <v>34150</v>
      </c>
      <c r="B10" t="s">
        <v>623</v>
      </c>
      <c r="C10" s="85" t="str">
        <f>VLOOKUP(A10,ADM!$A$1:$N$343,14,0)</f>
        <v>Sète Agglopôle Méditerranée</v>
      </c>
      <c r="D10">
        <v>328</v>
      </c>
      <c r="E10">
        <v>752</v>
      </c>
      <c r="F10" t="s">
        <v>133</v>
      </c>
      <c r="G10" t="s">
        <v>625</v>
      </c>
      <c r="H10">
        <v>277</v>
      </c>
      <c r="I10" t="s">
        <v>114</v>
      </c>
      <c r="J10">
        <v>30.666666670000001</v>
      </c>
      <c r="K10">
        <v>9.1428571430000005</v>
      </c>
      <c r="L10">
        <v>7</v>
      </c>
      <c r="M10">
        <v>10</v>
      </c>
      <c r="N10">
        <v>92</v>
      </c>
      <c r="O10">
        <v>64</v>
      </c>
      <c r="P10">
        <v>35</v>
      </c>
      <c r="Q10">
        <v>0</v>
      </c>
      <c r="R10">
        <v>49</v>
      </c>
      <c r="S10">
        <v>127</v>
      </c>
      <c r="T10">
        <v>92</v>
      </c>
      <c r="U10">
        <v>9</v>
      </c>
      <c r="V10">
        <v>0.73260000000000003</v>
      </c>
      <c r="W10">
        <v>5.8608000000000002</v>
      </c>
      <c r="X10" s="1">
        <v>7.0000000000000007E-2</v>
      </c>
      <c r="Y10">
        <v>240</v>
      </c>
      <c r="Z10">
        <v>28</v>
      </c>
      <c r="AA10">
        <v>223</v>
      </c>
      <c r="AB10">
        <v>15</v>
      </c>
      <c r="AC10">
        <v>0</v>
      </c>
      <c r="AD10">
        <v>23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41</v>
      </c>
      <c r="AO10">
        <v>0</v>
      </c>
      <c r="AP10">
        <v>3</v>
      </c>
      <c r="AQ10" t="s">
        <v>626</v>
      </c>
      <c r="AR10" t="s">
        <v>627</v>
      </c>
      <c r="AS10">
        <v>1</v>
      </c>
    </row>
    <row r="11" spans="1:45" x14ac:dyDescent="0.25">
      <c r="A11">
        <v>34213</v>
      </c>
      <c r="B11" t="s">
        <v>805</v>
      </c>
      <c r="C11" s="85" t="str">
        <f>VLOOKUP(A11,ADM!$A$1:$N$343,14,0)</f>
        <v>Sète Agglopôle Méditerranée</v>
      </c>
      <c r="D11">
        <v>86</v>
      </c>
      <c r="E11">
        <v>575</v>
      </c>
      <c r="F11" t="s">
        <v>133</v>
      </c>
      <c r="G11" t="s">
        <v>807</v>
      </c>
      <c r="H11">
        <v>77</v>
      </c>
      <c r="I11" t="s">
        <v>114</v>
      </c>
      <c r="J11">
        <v>22</v>
      </c>
      <c r="K11">
        <v>2.307692308</v>
      </c>
      <c r="L11">
        <v>0.91304347799999996</v>
      </c>
      <c r="M11">
        <v>3</v>
      </c>
      <c r="N11">
        <v>22</v>
      </c>
      <c r="O11">
        <v>30</v>
      </c>
      <c r="P11">
        <v>21</v>
      </c>
      <c r="Q11">
        <v>0</v>
      </c>
      <c r="R11">
        <v>1</v>
      </c>
      <c r="S11">
        <v>36</v>
      </c>
      <c r="T11">
        <v>36</v>
      </c>
      <c r="U11">
        <v>4</v>
      </c>
      <c r="V11">
        <v>1.2987</v>
      </c>
      <c r="W11">
        <v>2.7027000000000001</v>
      </c>
      <c r="X11" s="1">
        <v>0.03</v>
      </c>
      <c r="Y11">
        <v>89</v>
      </c>
      <c r="Z11">
        <v>2</v>
      </c>
      <c r="AA11">
        <v>85</v>
      </c>
      <c r="AB11">
        <v>37</v>
      </c>
      <c r="AC11">
        <v>0</v>
      </c>
      <c r="AD11">
        <v>9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14</v>
      </c>
      <c r="AO11">
        <v>0</v>
      </c>
      <c r="AP11">
        <v>3</v>
      </c>
      <c r="AQ11" t="s">
        <v>808</v>
      </c>
      <c r="AR11" t="s">
        <v>809</v>
      </c>
      <c r="AS11">
        <v>1</v>
      </c>
    </row>
    <row r="12" spans="1:45" x14ac:dyDescent="0.25">
      <c r="A12">
        <v>34255</v>
      </c>
      <c r="B12" t="s">
        <v>905</v>
      </c>
      <c r="C12" s="85" t="str">
        <f>VLOOKUP(A12,ADM!$A$1:$N$343,14,0)</f>
        <v>CC du Grand Pic Saint-Loup</v>
      </c>
      <c r="D12">
        <v>325</v>
      </c>
      <c r="E12">
        <v>747</v>
      </c>
      <c r="F12" t="s">
        <v>133</v>
      </c>
      <c r="G12" t="s">
        <v>907</v>
      </c>
      <c r="H12">
        <v>174</v>
      </c>
      <c r="I12">
        <v>7.5</v>
      </c>
      <c r="J12">
        <v>10.16666667</v>
      </c>
      <c r="K12">
        <v>7.5454545450000001</v>
      </c>
      <c r="L12">
        <v>5.7777777779999999</v>
      </c>
      <c r="M12">
        <v>15</v>
      </c>
      <c r="N12">
        <v>61</v>
      </c>
      <c r="O12">
        <v>83</v>
      </c>
      <c r="P12">
        <v>52</v>
      </c>
      <c r="Q12">
        <v>2</v>
      </c>
      <c r="R12">
        <v>31</v>
      </c>
      <c r="S12">
        <v>45</v>
      </c>
      <c r="T12">
        <v>83</v>
      </c>
      <c r="U12">
        <v>13</v>
      </c>
      <c r="V12">
        <v>0.58479999999999999</v>
      </c>
      <c r="W12">
        <v>6.5789</v>
      </c>
      <c r="X12" s="1">
        <v>0.04</v>
      </c>
      <c r="Y12">
        <v>239</v>
      </c>
      <c r="Z12">
        <v>6</v>
      </c>
      <c r="AA12">
        <v>242</v>
      </c>
      <c r="AB12">
        <v>28</v>
      </c>
      <c r="AC12">
        <v>0</v>
      </c>
      <c r="AD12">
        <v>21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16</v>
      </c>
      <c r="AM12">
        <v>0</v>
      </c>
      <c r="AN12">
        <v>39</v>
      </c>
      <c r="AO12">
        <v>0</v>
      </c>
      <c r="AP12">
        <v>3</v>
      </c>
      <c r="AQ12" t="s">
        <v>908</v>
      </c>
      <c r="AR12" t="s">
        <v>909</v>
      </c>
      <c r="AS12">
        <v>1</v>
      </c>
    </row>
    <row r="13" spans="1:45" x14ac:dyDescent="0.25">
      <c r="A13">
        <v>34259</v>
      </c>
      <c r="B13" t="s">
        <v>916</v>
      </c>
      <c r="C13" s="85" t="str">
        <f>VLOOKUP(A13,ADM!$A$1:$N$343,14,0)</f>
        <v>Montpellier Méditerranée Métropole</v>
      </c>
      <c r="D13">
        <v>236</v>
      </c>
      <c r="E13">
        <v>351</v>
      </c>
      <c r="F13" t="s">
        <v>133</v>
      </c>
      <c r="G13" t="s">
        <v>918</v>
      </c>
      <c r="H13">
        <v>140</v>
      </c>
      <c r="I13" t="s">
        <v>114</v>
      </c>
      <c r="J13">
        <v>14.5</v>
      </c>
      <c r="K13" t="s">
        <v>114</v>
      </c>
      <c r="L13">
        <v>20.5</v>
      </c>
      <c r="M13">
        <v>4</v>
      </c>
      <c r="N13">
        <v>29</v>
      </c>
      <c r="O13">
        <v>38</v>
      </c>
      <c r="P13">
        <v>41</v>
      </c>
      <c r="Q13">
        <v>5</v>
      </c>
      <c r="R13">
        <v>23</v>
      </c>
      <c r="S13">
        <v>39</v>
      </c>
      <c r="T13">
        <v>57</v>
      </c>
      <c r="U13">
        <v>16</v>
      </c>
      <c r="V13">
        <v>0</v>
      </c>
      <c r="W13">
        <v>2.8986000000000001</v>
      </c>
      <c r="X13" s="1">
        <v>0.06</v>
      </c>
      <c r="Y13">
        <v>110</v>
      </c>
      <c r="Z13">
        <v>27</v>
      </c>
      <c r="AA13">
        <v>132</v>
      </c>
      <c r="AB13">
        <v>4</v>
      </c>
      <c r="AC13">
        <v>0</v>
      </c>
      <c r="AD13">
        <v>14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2</v>
      </c>
      <c r="AM13">
        <v>0</v>
      </c>
      <c r="AN13">
        <v>25</v>
      </c>
      <c r="AO13">
        <v>0</v>
      </c>
      <c r="AP13">
        <v>3</v>
      </c>
      <c r="AQ13" t="s">
        <v>919</v>
      </c>
      <c r="AR13" t="s">
        <v>920</v>
      </c>
      <c r="AS13">
        <v>1</v>
      </c>
    </row>
    <row r="14" spans="1:45" x14ac:dyDescent="0.25">
      <c r="A14">
        <v>34298</v>
      </c>
      <c r="B14" t="s">
        <v>1006</v>
      </c>
      <c r="C14" s="85" t="str">
        <f>VLOOKUP(A14,ADM!$A$1:$N$343,14,0)</f>
        <v>CA de Béziers-Méditerranée</v>
      </c>
      <c r="D14">
        <v>218</v>
      </c>
      <c r="E14">
        <v>410</v>
      </c>
      <c r="F14" t="s">
        <v>133</v>
      </c>
      <c r="G14" t="s">
        <v>1008</v>
      </c>
      <c r="H14">
        <v>204</v>
      </c>
      <c r="I14" t="s">
        <v>114</v>
      </c>
      <c r="J14">
        <v>9</v>
      </c>
      <c r="K14">
        <v>4.3</v>
      </c>
      <c r="L14">
        <v>8.25</v>
      </c>
      <c r="M14">
        <v>12</v>
      </c>
      <c r="N14">
        <v>45</v>
      </c>
      <c r="O14">
        <v>43</v>
      </c>
      <c r="P14">
        <v>33</v>
      </c>
      <c r="Q14">
        <v>0</v>
      </c>
      <c r="R14">
        <v>65</v>
      </c>
      <c r="S14">
        <v>92</v>
      </c>
      <c r="T14">
        <v>43</v>
      </c>
      <c r="U14">
        <v>4</v>
      </c>
      <c r="V14">
        <v>5.4187000000000003</v>
      </c>
      <c r="W14">
        <v>10.6145</v>
      </c>
      <c r="X14" s="1">
        <v>0.09</v>
      </c>
      <c r="Y14">
        <v>161</v>
      </c>
      <c r="Z14">
        <v>17</v>
      </c>
      <c r="AA14">
        <v>150</v>
      </c>
      <c r="AB14">
        <v>19</v>
      </c>
      <c r="AC14">
        <v>0</v>
      </c>
      <c r="AD14">
        <v>18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34</v>
      </c>
      <c r="AO14">
        <v>0</v>
      </c>
      <c r="AP14">
        <v>3</v>
      </c>
      <c r="AQ14" t="s">
        <v>1009</v>
      </c>
      <c r="AR14" t="s">
        <v>1010</v>
      </c>
      <c r="AS14">
        <v>1</v>
      </c>
    </row>
    <row r="15" spans="1:45" ht="14.45" x14ac:dyDescent="0.35">
      <c r="A15">
        <v>34023</v>
      </c>
      <c r="B15" t="s">
        <v>225</v>
      </c>
      <c r="C15" s="85" t="str">
        <f>VLOOKUP(A15,ADM!$A$1:$N$343,14,0)</f>
        <v>Sète Agglopôle Méditerranée</v>
      </c>
      <c r="D15">
        <v>471</v>
      </c>
      <c r="E15">
        <v>469</v>
      </c>
      <c r="F15" t="s">
        <v>231</v>
      </c>
      <c r="G15" t="s">
        <v>232</v>
      </c>
      <c r="H15">
        <v>404</v>
      </c>
      <c r="I15">
        <v>33</v>
      </c>
      <c r="J15">
        <v>18</v>
      </c>
      <c r="K15">
        <v>13</v>
      </c>
      <c r="L15">
        <v>7.2857142860000002</v>
      </c>
      <c r="M15">
        <v>33</v>
      </c>
      <c r="N15">
        <v>144</v>
      </c>
      <c r="O15">
        <v>104</v>
      </c>
      <c r="P15">
        <v>51</v>
      </c>
      <c r="Q15">
        <v>10</v>
      </c>
      <c r="R15">
        <v>77</v>
      </c>
      <c r="S15">
        <v>170</v>
      </c>
      <c r="T15">
        <v>127</v>
      </c>
      <c r="U15">
        <v>20</v>
      </c>
      <c r="V15">
        <v>0</v>
      </c>
      <c r="W15">
        <v>5.0125000000000002</v>
      </c>
      <c r="X15" s="1">
        <v>0.12</v>
      </c>
      <c r="Y15">
        <v>380</v>
      </c>
      <c r="Z15">
        <v>34</v>
      </c>
      <c r="AA15">
        <v>370</v>
      </c>
      <c r="AB15">
        <v>24</v>
      </c>
      <c r="AC15">
        <v>0</v>
      </c>
      <c r="AD15">
        <v>15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31</v>
      </c>
      <c r="AO15">
        <v>8</v>
      </c>
      <c r="AP15">
        <v>3</v>
      </c>
      <c r="AQ15" t="s">
        <v>233</v>
      </c>
      <c r="AR15" t="s">
        <v>234</v>
      </c>
      <c r="AS15">
        <v>1</v>
      </c>
    </row>
    <row r="16" spans="1:45" ht="14.45" x14ac:dyDescent="0.35">
      <c r="A16">
        <v>34031</v>
      </c>
      <c r="B16" t="s">
        <v>260</v>
      </c>
      <c r="C16" s="85" t="str">
        <f>VLOOKUP(A16,ADM!$A$1:$N$343,14,0)</f>
        <v>CA Hérault-Méditerranée</v>
      </c>
      <c r="D16">
        <v>268</v>
      </c>
      <c r="E16">
        <v>324</v>
      </c>
      <c r="F16" t="s">
        <v>231</v>
      </c>
      <c r="G16" t="s">
        <v>262</v>
      </c>
      <c r="H16">
        <v>222</v>
      </c>
      <c r="I16" t="s">
        <v>114</v>
      </c>
      <c r="J16">
        <v>1.8285714289999999</v>
      </c>
      <c r="K16">
        <v>1.294117647</v>
      </c>
      <c r="L16">
        <v>1.4210526320000001</v>
      </c>
      <c r="M16">
        <v>9</v>
      </c>
      <c r="N16">
        <v>64</v>
      </c>
      <c r="O16">
        <v>44</v>
      </c>
      <c r="P16">
        <v>27</v>
      </c>
      <c r="Q16">
        <v>1</v>
      </c>
      <c r="R16">
        <v>67</v>
      </c>
      <c r="S16">
        <v>83</v>
      </c>
      <c r="T16">
        <v>69</v>
      </c>
      <c r="U16">
        <v>2</v>
      </c>
      <c r="V16">
        <v>0.45050000000000001</v>
      </c>
      <c r="W16">
        <v>10.416700000000001</v>
      </c>
      <c r="X16" s="1">
        <v>0.1</v>
      </c>
      <c r="Y16">
        <v>238</v>
      </c>
      <c r="Z16">
        <v>18</v>
      </c>
      <c r="AA16">
        <v>156</v>
      </c>
      <c r="AB16">
        <v>88</v>
      </c>
      <c r="AC16">
        <v>0</v>
      </c>
      <c r="AD16">
        <v>3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</v>
      </c>
      <c r="AO16">
        <v>0</v>
      </c>
      <c r="AP16">
        <v>3</v>
      </c>
      <c r="AQ16" t="s">
        <v>263</v>
      </c>
      <c r="AR16" t="s">
        <v>264</v>
      </c>
      <c r="AS16">
        <v>1</v>
      </c>
    </row>
    <row r="17" spans="1:45" x14ac:dyDescent="0.25">
      <c r="A17">
        <v>34032</v>
      </c>
      <c r="B17" t="s">
        <v>101</v>
      </c>
      <c r="C17" s="85" t="str">
        <f>VLOOKUP(A17,ADM!$A$1:$N$343,14,0)</f>
        <v>CA de Béziers-Méditerranée</v>
      </c>
      <c r="D17">
        <v>8726</v>
      </c>
      <c r="E17">
        <v>1227</v>
      </c>
      <c r="F17" t="s">
        <v>231</v>
      </c>
      <c r="G17" t="s">
        <v>267</v>
      </c>
      <c r="H17">
        <v>7437</v>
      </c>
      <c r="I17">
        <v>11.36842105</v>
      </c>
      <c r="J17">
        <v>3.8738317759999998</v>
      </c>
      <c r="K17" t="e">
        <v>#VALUE!</v>
      </c>
      <c r="L17" t="e">
        <v>#VALUE!</v>
      </c>
      <c r="M17">
        <v>216</v>
      </c>
      <c r="N17">
        <v>829</v>
      </c>
      <c r="O17" t="s">
        <v>268</v>
      </c>
      <c r="P17" t="s">
        <v>269</v>
      </c>
      <c r="Q17">
        <v>181</v>
      </c>
      <c r="R17">
        <v>1213</v>
      </c>
      <c r="S17">
        <v>3140</v>
      </c>
      <c r="T17">
        <v>2135</v>
      </c>
      <c r="U17">
        <v>768</v>
      </c>
      <c r="V17">
        <v>4.7333999999999996</v>
      </c>
      <c r="W17">
        <v>9.5945</v>
      </c>
      <c r="X17" s="1">
        <v>0.2</v>
      </c>
      <c r="Y17">
        <v>3479</v>
      </c>
      <c r="Z17">
        <v>756</v>
      </c>
      <c r="AA17">
        <v>3363</v>
      </c>
      <c r="AB17">
        <v>736</v>
      </c>
      <c r="AC17">
        <v>0</v>
      </c>
      <c r="AD17">
        <v>70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18</v>
      </c>
      <c r="AL17">
        <v>173</v>
      </c>
      <c r="AM17">
        <v>182</v>
      </c>
      <c r="AN17">
        <v>148</v>
      </c>
      <c r="AO17">
        <v>62</v>
      </c>
      <c r="AP17">
        <v>3</v>
      </c>
      <c r="AQ17" t="s">
        <v>270</v>
      </c>
      <c r="AR17" t="s">
        <v>271</v>
      </c>
      <c r="AS17">
        <v>1</v>
      </c>
    </row>
    <row r="18" spans="1:45" ht="14.45" x14ac:dyDescent="0.35">
      <c r="A18">
        <v>34057</v>
      </c>
      <c r="B18" t="s">
        <v>341</v>
      </c>
      <c r="C18" s="85" t="str">
        <f>VLOOKUP(A18,ADM!$A$1:$N$343,14,0)</f>
        <v>Montpellier Méditerranée Métropole</v>
      </c>
      <c r="D18">
        <v>2211</v>
      </c>
      <c r="E18">
        <v>784</v>
      </c>
      <c r="F18" t="s">
        <v>231</v>
      </c>
      <c r="G18" t="s">
        <v>345</v>
      </c>
      <c r="H18">
        <v>1794</v>
      </c>
      <c r="I18">
        <v>9.5454545450000001</v>
      </c>
      <c r="J18">
        <v>3.7809523810000001</v>
      </c>
      <c r="K18">
        <v>2.413533835</v>
      </c>
      <c r="L18">
        <v>8.6060606059999998</v>
      </c>
      <c r="M18">
        <v>105</v>
      </c>
      <c r="N18">
        <v>397</v>
      </c>
      <c r="O18">
        <v>321</v>
      </c>
      <c r="P18">
        <v>284</v>
      </c>
      <c r="Q18">
        <v>82</v>
      </c>
      <c r="R18">
        <v>563</v>
      </c>
      <c r="S18">
        <v>754</v>
      </c>
      <c r="T18">
        <v>346</v>
      </c>
      <c r="U18">
        <v>49</v>
      </c>
      <c r="V18">
        <v>1.2407999999999999</v>
      </c>
      <c r="W18">
        <v>6.8414000000000001</v>
      </c>
      <c r="X18" s="1">
        <v>0.17</v>
      </c>
      <c r="Y18">
        <v>1169</v>
      </c>
      <c r="Z18">
        <v>223</v>
      </c>
      <c r="AA18">
        <v>1268</v>
      </c>
      <c r="AB18">
        <v>282</v>
      </c>
      <c r="AC18">
        <v>0</v>
      </c>
      <c r="AD18">
        <v>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82</v>
      </c>
      <c r="AM18">
        <v>0</v>
      </c>
      <c r="AN18">
        <v>189</v>
      </c>
      <c r="AO18">
        <v>0</v>
      </c>
      <c r="AP18">
        <v>2</v>
      </c>
      <c r="AQ18" t="s">
        <v>346</v>
      </c>
      <c r="AR18" t="s">
        <v>347</v>
      </c>
      <c r="AS18">
        <v>1</v>
      </c>
    </row>
    <row r="19" spans="1:45" ht="14.45" x14ac:dyDescent="0.35">
      <c r="A19">
        <v>34058</v>
      </c>
      <c r="B19" t="s">
        <v>348</v>
      </c>
      <c r="C19" s="85" t="str">
        <f>VLOOKUP(A19,ADM!$A$1:$N$343,14,0)</f>
        <v>Montpellier Méditerranée Métropole</v>
      </c>
      <c r="D19">
        <v>366</v>
      </c>
      <c r="E19">
        <v>328</v>
      </c>
      <c r="F19" t="s">
        <v>231</v>
      </c>
      <c r="G19" t="s">
        <v>350</v>
      </c>
      <c r="H19">
        <v>302</v>
      </c>
      <c r="I19" t="s">
        <v>114</v>
      </c>
      <c r="J19">
        <v>5</v>
      </c>
      <c r="K19">
        <v>2.6315789469999999</v>
      </c>
      <c r="L19">
        <v>2.153846154</v>
      </c>
      <c r="M19">
        <v>18</v>
      </c>
      <c r="N19">
        <v>65</v>
      </c>
      <c r="O19">
        <v>50</v>
      </c>
      <c r="P19">
        <v>28</v>
      </c>
      <c r="Q19">
        <v>16</v>
      </c>
      <c r="R19">
        <v>73</v>
      </c>
      <c r="S19">
        <v>116</v>
      </c>
      <c r="T19">
        <v>77</v>
      </c>
      <c r="U19">
        <v>20</v>
      </c>
      <c r="V19">
        <v>1</v>
      </c>
      <c r="W19">
        <v>4.5454999999999997</v>
      </c>
      <c r="X19" s="1">
        <v>0.11</v>
      </c>
      <c r="Y19">
        <v>186</v>
      </c>
      <c r="Z19">
        <v>28</v>
      </c>
      <c r="AA19">
        <v>181</v>
      </c>
      <c r="AB19">
        <v>45</v>
      </c>
      <c r="AC19">
        <v>0</v>
      </c>
      <c r="AD19">
        <v>23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25</v>
      </c>
      <c r="AM19">
        <v>0</v>
      </c>
      <c r="AN19">
        <v>45</v>
      </c>
      <c r="AO19">
        <v>7</v>
      </c>
      <c r="AP19">
        <v>3</v>
      </c>
      <c r="AQ19" t="s">
        <v>351</v>
      </c>
      <c r="AR19" t="s">
        <v>352</v>
      </c>
      <c r="AS19">
        <v>1</v>
      </c>
    </row>
    <row r="20" spans="1:45" ht="14.45" x14ac:dyDescent="0.35">
      <c r="A20">
        <v>34077</v>
      </c>
      <c r="B20" t="s">
        <v>398</v>
      </c>
      <c r="C20" s="85" t="str">
        <f>VLOOKUP(A20,ADM!$A$1:$N$343,14,0)</f>
        <v>Montpellier Méditerranée Métropole</v>
      </c>
      <c r="D20">
        <v>454</v>
      </c>
      <c r="E20">
        <v>132</v>
      </c>
      <c r="F20" t="s">
        <v>231</v>
      </c>
      <c r="G20" t="s">
        <v>400</v>
      </c>
      <c r="H20">
        <v>350</v>
      </c>
      <c r="I20" t="s">
        <v>114</v>
      </c>
      <c r="J20">
        <v>6</v>
      </c>
      <c r="K20">
        <v>6</v>
      </c>
      <c r="L20">
        <v>8.3333333330000006</v>
      </c>
      <c r="M20">
        <v>9</v>
      </c>
      <c r="N20">
        <v>66</v>
      </c>
      <c r="O20">
        <v>60</v>
      </c>
      <c r="P20">
        <v>50</v>
      </c>
      <c r="Q20">
        <v>0</v>
      </c>
      <c r="R20">
        <v>115</v>
      </c>
      <c r="S20">
        <v>126</v>
      </c>
      <c r="T20">
        <v>91</v>
      </c>
      <c r="U20">
        <v>18</v>
      </c>
      <c r="V20">
        <v>0.29239999999999999</v>
      </c>
      <c r="W20">
        <v>5.7401999999999997</v>
      </c>
      <c r="X20" s="1">
        <v>0.16</v>
      </c>
      <c r="Y20">
        <v>211</v>
      </c>
      <c r="Z20">
        <v>102</v>
      </c>
      <c r="AA20">
        <v>218</v>
      </c>
      <c r="AB20">
        <v>27</v>
      </c>
      <c r="AC20">
        <v>0</v>
      </c>
      <c r="AD20">
        <v>11</v>
      </c>
      <c r="AE20">
        <v>29</v>
      </c>
      <c r="AF20">
        <v>0</v>
      </c>
      <c r="AG20">
        <v>0</v>
      </c>
      <c r="AH20">
        <v>0</v>
      </c>
      <c r="AI20">
        <v>2</v>
      </c>
      <c r="AJ20">
        <v>0</v>
      </c>
      <c r="AK20">
        <v>0</v>
      </c>
      <c r="AL20">
        <v>0</v>
      </c>
      <c r="AM20">
        <v>0</v>
      </c>
      <c r="AN20">
        <v>21</v>
      </c>
      <c r="AO20">
        <v>10</v>
      </c>
      <c r="AP20">
        <v>2</v>
      </c>
      <c r="AQ20" t="s">
        <v>401</v>
      </c>
      <c r="AR20" t="s">
        <v>402</v>
      </c>
      <c r="AS20">
        <v>1</v>
      </c>
    </row>
    <row r="21" spans="1:45" ht="14.45" x14ac:dyDescent="0.35">
      <c r="A21">
        <v>34088</v>
      </c>
      <c r="B21" t="s">
        <v>435</v>
      </c>
      <c r="C21" s="85" t="str">
        <f>VLOOKUP(A21,ADM!$A$1:$N$343,14,0)</f>
        <v>Montpellier Méditerranée Métropole</v>
      </c>
      <c r="D21">
        <v>280</v>
      </c>
      <c r="E21">
        <v>413</v>
      </c>
      <c r="F21" t="s">
        <v>231</v>
      </c>
      <c r="G21" t="s">
        <v>437</v>
      </c>
      <c r="H21">
        <v>244</v>
      </c>
      <c r="I21" t="s">
        <v>114</v>
      </c>
      <c r="J21">
        <v>3.1333333329999999</v>
      </c>
      <c r="K21">
        <v>1.2903225810000001</v>
      </c>
      <c r="L21">
        <v>2.4285714289999998</v>
      </c>
      <c r="M21">
        <v>11</v>
      </c>
      <c r="N21">
        <v>47</v>
      </c>
      <c r="O21">
        <v>40</v>
      </c>
      <c r="P21">
        <v>34</v>
      </c>
      <c r="Q21">
        <v>1</v>
      </c>
      <c r="R21">
        <v>65</v>
      </c>
      <c r="S21">
        <v>104</v>
      </c>
      <c r="T21">
        <v>60</v>
      </c>
      <c r="U21">
        <v>14</v>
      </c>
      <c r="V21">
        <v>0.41320000000000001</v>
      </c>
      <c r="W21">
        <v>11.2745</v>
      </c>
      <c r="X21" s="1">
        <v>0.09</v>
      </c>
      <c r="Y21">
        <v>138</v>
      </c>
      <c r="Z21">
        <v>12</v>
      </c>
      <c r="AA21">
        <v>147</v>
      </c>
      <c r="AB21">
        <v>60</v>
      </c>
      <c r="AC21">
        <v>0</v>
      </c>
      <c r="AD21">
        <v>17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32</v>
      </c>
      <c r="AM21">
        <v>112</v>
      </c>
      <c r="AN21">
        <v>30</v>
      </c>
      <c r="AO21">
        <v>0</v>
      </c>
      <c r="AP21">
        <v>3</v>
      </c>
      <c r="AQ21" t="s">
        <v>438</v>
      </c>
      <c r="AR21" t="s">
        <v>439</v>
      </c>
      <c r="AS21">
        <v>1</v>
      </c>
    </row>
    <row r="22" spans="1:45" x14ac:dyDescent="0.25">
      <c r="A22">
        <v>34090</v>
      </c>
      <c r="B22" t="s">
        <v>443</v>
      </c>
      <c r="C22" s="85" t="str">
        <f>VLOOKUP(A22,ADM!$A$1:$N$343,14,0)</f>
        <v>Montpellier Méditerranée Métropole</v>
      </c>
      <c r="D22">
        <v>593</v>
      </c>
      <c r="E22">
        <v>454</v>
      </c>
      <c r="F22" t="s">
        <v>231</v>
      </c>
      <c r="G22" t="s">
        <v>445</v>
      </c>
      <c r="H22">
        <v>481</v>
      </c>
      <c r="I22">
        <v>2</v>
      </c>
      <c r="J22">
        <v>14.16666667</v>
      </c>
      <c r="K22">
        <v>5.2142857139999998</v>
      </c>
      <c r="L22">
        <v>17</v>
      </c>
      <c r="M22">
        <v>18</v>
      </c>
      <c r="N22">
        <v>85</v>
      </c>
      <c r="O22">
        <v>73</v>
      </c>
      <c r="P22">
        <v>68</v>
      </c>
      <c r="Q22">
        <v>39</v>
      </c>
      <c r="R22">
        <v>136</v>
      </c>
      <c r="S22">
        <v>207</v>
      </c>
      <c r="T22">
        <v>90</v>
      </c>
      <c r="U22">
        <v>9</v>
      </c>
      <c r="V22">
        <v>0.21049999999999999</v>
      </c>
      <c r="W22">
        <v>8</v>
      </c>
      <c r="X22" s="1">
        <v>0.12</v>
      </c>
      <c r="Y22">
        <v>258</v>
      </c>
      <c r="Z22">
        <v>39</v>
      </c>
      <c r="AA22">
        <v>265</v>
      </c>
      <c r="AB22">
        <v>33</v>
      </c>
      <c r="AC22">
        <v>0</v>
      </c>
      <c r="AD22">
        <v>16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</v>
      </c>
      <c r="AM22">
        <v>0</v>
      </c>
      <c r="AN22">
        <v>31</v>
      </c>
      <c r="AO22">
        <v>0</v>
      </c>
      <c r="AP22">
        <v>2</v>
      </c>
      <c r="AQ22" t="s">
        <v>446</v>
      </c>
      <c r="AR22" t="s">
        <v>447</v>
      </c>
      <c r="AS22">
        <v>1</v>
      </c>
    </row>
    <row r="23" spans="1:45" x14ac:dyDescent="0.25">
      <c r="A23">
        <v>34101</v>
      </c>
      <c r="B23" t="s">
        <v>471</v>
      </c>
      <c r="C23" s="85" t="str">
        <f>VLOOKUP(A23,ADM!$A$1:$N$343,14,0)</f>
        <v>CA Hérault-Méditerranée</v>
      </c>
      <c r="D23">
        <v>226</v>
      </c>
      <c r="E23">
        <v>351</v>
      </c>
      <c r="F23" t="s">
        <v>231</v>
      </c>
      <c r="G23" t="s">
        <v>473</v>
      </c>
      <c r="H23">
        <v>163</v>
      </c>
      <c r="I23" t="s">
        <v>114</v>
      </c>
      <c r="J23">
        <v>14.5</v>
      </c>
      <c r="K23">
        <v>2.7272727269999999</v>
      </c>
      <c r="L23">
        <v>5.6666666670000003</v>
      </c>
      <c r="M23">
        <v>9</v>
      </c>
      <c r="N23">
        <v>29</v>
      </c>
      <c r="O23">
        <v>30</v>
      </c>
      <c r="P23">
        <v>17</v>
      </c>
      <c r="Q23">
        <v>0</v>
      </c>
      <c r="R23">
        <v>23</v>
      </c>
      <c r="S23">
        <v>78</v>
      </c>
      <c r="T23">
        <v>51</v>
      </c>
      <c r="U23">
        <v>11</v>
      </c>
      <c r="V23">
        <v>0.63690000000000002</v>
      </c>
      <c r="W23">
        <v>10.827999999999999</v>
      </c>
      <c r="X23" s="1">
        <v>7.0000000000000007E-2</v>
      </c>
      <c r="Y23">
        <v>101</v>
      </c>
      <c r="Z23">
        <v>8</v>
      </c>
      <c r="AA23">
        <v>99</v>
      </c>
      <c r="AB23">
        <v>16</v>
      </c>
      <c r="AC23">
        <v>0</v>
      </c>
      <c r="AD23">
        <v>62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2</v>
      </c>
      <c r="AM23">
        <v>23</v>
      </c>
      <c r="AN23">
        <v>92</v>
      </c>
      <c r="AO23">
        <v>0</v>
      </c>
      <c r="AP23">
        <v>3</v>
      </c>
      <c r="AQ23" t="s">
        <v>474</v>
      </c>
      <c r="AR23" t="s">
        <v>475</v>
      </c>
      <c r="AS23">
        <v>1</v>
      </c>
    </row>
    <row r="24" spans="1:45" x14ac:dyDescent="0.25">
      <c r="A24">
        <v>34116</v>
      </c>
      <c r="B24" t="s">
        <v>514</v>
      </c>
      <c r="C24" s="85" t="str">
        <f>VLOOKUP(A24,ADM!$A$1:$N$343,14,0)</f>
        <v>Montpellier Méditerranée Métropole</v>
      </c>
      <c r="D24">
        <v>680</v>
      </c>
      <c r="E24">
        <v>314</v>
      </c>
      <c r="F24" t="s">
        <v>231</v>
      </c>
      <c r="G24" t="s">
        <v>518</v>
      </c>
      <c r="H24">
        <v>470</v>
      </c>
      <c r="I24" t="s">
        <v>114</v>
      </c>
      <c r="J24">
        <v>6.5625</v>
      </c>
      <c r="K24">
        <v>4.8947368420000004</v>
      </c>
      <c r="L24">
        <v>5.1333333330000004</v>
      </c>
      <c r="M24">
        <v>17</v>
      </c>
      <c r="N24">
        <v>105</v>
      </c>
      <c r="O24">
        <v>93</v>
      </c>
      <c r="P24">
        <v>77</v>
      </c>
      <c r="Q24">
        <v>3</v>
      </c>
      <c r="R24">
        <v>118</v>
      </c>
      <c r="S24">
        <v>201</v>
      </c>
      <c r="T24">
        <v>131</v>
      </c>
      <c r="U24">
        <v>17</v>
      </c>
      <c r="V24">
        <v>2.1739000000000002</v>
      </c>
      <c r="W24">
        <v>6.9443999999999999</v>
      </c>
      <c r="X24" s="1">
        <v>0.12</v>
      </c>
      <c r="Y24">
        <v>330</v>
      </c>
      <c r="Z24">
        <v>22</v>
      </c>
      <c r="AA24">
        <v>330</v>
      </c>
      <c r="AB24">
        <v>50</v>
      </c>
      <c r="AC24">
        <v>0</v>
      </c>
      <c r="AD24">
        <v>33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4</v>
      </c>
      <c r="AM24">
        <v>62</v>
      </c>
      <c r="AN24">
        <v>41</v>
      </c>
      <c r="AO24">
        <v>0</v>
      </c>
      <c r="AP24">
        <v>2</v>
      </c>
      <c r="AQ24" t="s">
        <v>519</v>
      </c>
      <c r="AR24" t="s">
        <v>520</v>
      </c>
      <c r="AS24">
        <v>1</v>
      </c>
    </row>
    <row r="25" spans="1:45" x14ac:dyDescent="0.25">
      <c r="A25">
        <v>34120</v>
      </c>
      <c r="B25" t="s">
        <v>528</v>
      </c>
      <c r="C25" s="85" t="str">
        <f>VLOOKUP(A25,ADM!$A$1:$N$343,14,0)</f>
        <v>Montpellier Méditerranée Métropole</v>
      </c>
      <c r="D25">
        <v>505</v>
      </c>
      <c r="E25">
        <v>198</v>
      </c>
      <c r="F25" t="s">
        <v>231</v>
      </c>
      <c r="G25" t="s">
        <v>530</v>
      </c>
      <c r="H25">
        <v>434</v>
      </c>
      <c r="I25">
        <v>5.3333333329999997</v>
      </c>
      <c r="J25">
        <v>10.83333333</v>
      </c>
      <c r="K25">
        <v>14.57142857</v>
      </c>
      <c r="L25">
        <v>28</v>
      </c>
      <c r="M25">
        <v>16</v>
      </c>
      <c r="N25">
        <v>65</v>
      </c>
      <c r="O25">
        <v>102</v>
      </c>
      <c r="P25">
        <v>84</v>
      </c>
      <c r="Q25">
        <v>16</v>
      </c>
      <c r="R25">
        <v>131</v>
      </c>
      <c r="S25">
        <v>196</v>
      </c>
      <c r="T25">
        <v>80</v>
      </c>
      <c r="U25">
        <v>11</v>
      </c>
      <c r="V25">
        <v>0.69930000000000003</v>
      </c>
      <c r="W25">
        <v>5.5944000000000003</v>
      </c>
      <c r="X25" s="1">
        <v>0.15</v>
      </c>
      <c r="Y25">
        <v>284</v>
      </c>
      <c r="Z25">
        <v>24</v>
      </c>
      <c r="AA25">
        <v>313</v>
      </c>
      <c r="AB25">
        <v>19</v>
      </c>
      <c r="AC25">
        <v>0</v>
      </c>
      <c r="AD25">
        <v>10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60</v>
      </c>
      <c r="AN25">
        <v>15</v>
      </c>
      <c r="AO25">
        <v>0</v>
      </c>
      <c r="AP25">
        <v>2</v>
      </c>
      <c r="AQ25" t="s">
        <v>531</v>
      </c>
      <c r="AR25" t="s">
        <v>532</v>
      </c>
      <c r="AS25">
        <v>1</v>
      </c>
    </row>
    <row r="26" spans="1:45" x14ac:dyDescent="0.25">
      <c r="A26">
        <v>34123</v>
      </c>
      <c r="B26" t="s">
        <v>537</v>
      </c>
      <c r="C26" s="85" t="str">
        <f>VLOOKUP(A26,ADM!$A$1:$N$343,14,0)</f>
        <v>Montpellier Méditerranée Métropole</v>
      </c>
      <c r="D26">
        <v>823</v>
      </c>
      <c r="E26">
        <v>535</v>
      </c>
      <c r="F26" t="s">
        <v>231</v>
      </c>
      <c r="G26" t="s">
        <v>541</v>
      </c>
      <c r="H26">
        <v>815</v>
      </c>
      <c r="I26">
        <v>24.5</v>
      </c>
      <c r="J26">
        <v>3.5918367349999998</v>
      </c>
      <c r="K26">
        <v>3.263888889</v>
      </c>
      <c r="L26">
        <v>13.47368421</v>
      </c>
      <c r="M26">
        <v>49</v>
      </c>
      <c r="N26">
        <v>176</v>
      </c>
      <c r="O26">
        <v>235</v>
      </c>
      <c r="P26">
        <v>256</v>
      </c>
      <c r="Q26">
        <v>4</v>
      </c>
      <c r="R26">
        <v>214</v>
      </c>
      <c r="S26">
        <v>397</v>
      </c>
      <c r="T26">
        <v>185</v>
      </c>
      <c r="U26">
        <v>15</v>
      </c>
      <c r="V26">
        <v>0.9889</v>
      </c>
      <c r="W26">
        <v>9.3793000000000006</v>
      </c>
      <c r="X26" s="1">
        <v>0.16</v>
      </c>
      <c r="Y26">
        <v>757</v>
      </c>
      <c r="Z26">
        <v>116</v>
      </c>
      <c r="AA26">
        <v>802</v>
      </c>
      <c r="AB26">
        <v>142</v>
      </c>
      <c r="AC26">
        <v>0</v>
      </c>
      <c r="AD26">
        <v>26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29</v>
      </c>
      <c r="AM26">
        <v>0</v>
      </c>
      <c r="AN26">
        <v>45</v>
      </c>
      <c r="AO26">
        <v>0</v>
      </c>
      <c r="AP26">
        <v>2</v>
      </c>
      <c r="AQ26" t="s">
        <v>542</v>
      </c>
      <c r="AR26" t="s">
        <v>543</v>
      </c>
      <c r="AS26">
        <v>1</v>
      </c>
    </row>
    <row r="27" spans="1:45" x14ac:dyDescent="0.25">
      <c r="A27">
        <v>34129</v>
      </c>
      <c r="B27" t="s">
        <v>558</v>
      </c>
      <c r="C27" s="85" t="str">
        <f>VLOOKUP(A27,ADM!$A$1:$N$343,14,0)</f>
        <v>Montpellier Méditerranée Métropole</v>
      </c>
      <c r="D27">
        <v>950</v>
      </c>
      <c r="E27">
        <v>1157</v>
      </c>
      <c r="F27" t="s">
        <v>231</v>
      </c>
      <c r="G27" t="s">
        <v>560</v>
      </c>
      <c r="H27">
        <v>813</v>
      </c>
      <c r="I27">
        <v>7.8571428570000004</v>
      </c>
      <c r="J27">
        <v>15.26315789</v>
      </c>
      <c r="K27">
        <v>16.399999999999999</v>
      </c>
      <c r="L27">
        <v>15.81818182</v>
      </c>
      <c r="M27">
        <v>55</v>
      </c>
      <c r="N27">
        <v>290</v>
      </c>
      <c r="O27">
        <v>246</v>
      </c>
      <c r="P27">
        <v>174</v>
      </c>
      <c r="Q27">
        <v>65</v>
      </c>
      <c r="R27">
        <v>235</v>
      </c>
      <c r="S27">
        <v>285</v>
      </c>
      <c r="T27">
        <v>189</v>
      </c>
      <c r="U27">
        <v>39</v>
      </c>
      <c r="V27">
        <v>0.3886</v>
      </c>
      <c r="W27">
        <v>5.7895000000000003</v>
      </c>
      <c r="X27" s="1">
        <v>0.1</v>
      </c>
      <c r="Y27">
        <v>819</v>
      </c>
      <c r="Z27">
        <v>124</v>
      </c>
      <c r="AA27">
        <v>889</v>
      </c>
      <c r="AB27">
        <v>52</v>
      </c>
      <c r="AC27">
        <v>0</v>
      </c>
      <c r="AD27">
        <v>31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55</v>
      </c>
      <c r="AO27">
        <v>0</v>
      </c>
      <c r="AP27">
        <v>3</v>
      </c>
      <c r="AQ27" t="s">
        <v>520</v>
      </c>
      <c r="AR27" t="s">
        <v>561</v>
      </c>
      <c r="AS27">
        <v>1</v>
      </c>
    </row>
    <row r="28" spans="1:45" x14ac:dyDescent="0.25">
      <c r="A28">
        <v>34145</v>
      </c>
      <c r="B28" t="s">
        <v>603</v>
      </c>
      <c r="C28" s="85" t="str">
        <f>VLOOKUP(A28,ADM!$A$1:$N$343,14,0)</f>
        <v>CC du Pays de Lunel</v>
      </c>
      <c r="D28">
        <v>1970</v>
      </c>
      <c r="E28">
        <v>932</v>
      </c>
      <c r="F28" t="s">
        <v>231</v>
      </c>
      <c r="G28" t="s">
        <v>605</v>
      </c>
      <c r="H28">
        <v>1699</v>
      </c>
      <c r="I28">
        <v>34.5</v>
      </c>
      <c r="J28">
        <v>6.3023255809999998</v>
      </c>
      <c r="K28">
        <v>4.9137931029999997</v>
      </c>
      <c r="L28">
        <v>12.36</v>
      </c>
      <c r="M28">
        <v>69</v>
      </c>
      <c r="N28">
        <v>271</v>
      </c>
      <c r="O28">
        <v>285</v>
      </c>
      <c r="P28">
        <v>309</v>
      </c>
      <c r="Q28">
        <v>31</v>
      </c>
      <c r="R28">
        <v>326</v>
      </c>
      <c r="S28">
        <v>690</v>
      </c>
      <c r="T28">
        <v>511</v>
      </c>
      <c r="U28">
        <v>141</v>
      </c>
      <c r="V28">
        <v>0.41520000000000001</v>
      </c>
      <c r="W28">
        <v>5.9890999999999996</v>
      </c>
      <c r="X28" s="1">
        <v>0.15</v>
      </c>
      <c r="Y28">
        <v>1054</v>
      </c>
      <c r="Z28">
        <v>92</v>
      </c>
      <c r="AA28">
        <v>1028</v>
      </c>
      <c r="AB28">
        <v>128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3</v>
      </c>
      <c r="AQ28" t="s">
        <v>606</v>
      </c>
      <c r="AR28" t="s">
        <v>447</v>
      </c>
      <c r="AS28">
        <v>1</v>
      </c>
    </row>
    <row r="29" spans="1:45" x14ac:dyDescent="0.25">
      <c r="A29">
        <v>34146</v>
      </c>
      <c r="B29" t="s">
        <v>607</v>
      </c>
      <c r="C29" s="85" t="str">
        <f>VLOOKUP(A29,ADM!$A$1:$N$343,14,0)</f>
        <v>CC du Pays de Lunel</v>
      </c>
      <c r="D29">
        <v>304</v>
      </c>
      <c r="E29">
        <v>150</v>
      </c>
      <c r="F29" t="s">
        <v>231</v>
      </c>
      <c r="G29" t="s">
        <v>609</v>
      </c>
      <c r="H29">
        <v>276</v>
      </c>
      <c r="I29" t="s">
        <v>114</v>
      </c>
      <c r="J29">
        <v>4.6363636359999996</v>
      </c>
      <c r="K29">
        <v>1.2580645159999999</v>
      </c>
      <c r="L29">
        <v>3</v>
      </c>
      <c r="M29">
        <v>9</v>
      </c>
      <c r="N29">
        <v>51</v>
      </c>
      <c r="O29">
        <v>39</v>
      </c>
      <c r="P29">
        <v>33</v>
      </c>
      <c r="Q29">
        <v>1</v>
      </c>
      <c r="R29">
        <v>45</v>
      </c>
      <c r="S29">
        <v>127</v>
      </c>
      <c r="T29">
        <v>95</v>
      </c>
      <c r="U29">
        <v>8</v>
      </c>
      <c r="V29">
        <v>0.73260000000000003</v>
      </c>
      <c r="W29">
        <v>3.4782999999999999</v>
      </c>
      <c r="X29" s="1">
        <v>0.17</v>
      </c>
      <c r="Y29">
        <v>194</v>
      </c>
      <c r="Z29">
        <v>14</v>
      </c>
      <c r="AA29">
        <v>140</v>
      </c>
      <c r="AB29">
        <v>53</v>
      </c>
      <c r="AC29">
        <v>0</v>
      </c>
      <c r="AD29">
        <v>4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10</v>
      </c>
      <c r="AO29">
        <v>0</v>
      </c>
      <c r="AP29">
        <v>3</v>
      </c>
      <c r="AQ29" t="s">
        <v>610</v>
      </c>
      <c r="AR29" t="s">
        <v>611</v>
      </c>
      <c r="AS29">
        <v>1</v>
      </c>
    </row>
    <row r="30" spans="1:45" x14ac:dyDescent="0.25">
      <c r="A30">
        <v>34157</v>
      </c>
      <c r="B30" t="s">
        <v>646</v>
      </c>
      <c r="C30" s="85" t="str">
        <f>VLOOKUP(A30,ADM!$A$1:$N$343,14,0)</f>
        <v>Sète Agglopôle Méditerranée</v>
      </c>
      <c r="D30">
        <v>719</v>
      </c>
      <c r="E30">
        <v>769</v>
      </c>
      <c r="F30" t="s">
        <v>231</v>
      </c>
      <c r="G30" t="s">
        <v>648</v>
      </c>
      <c r="H30">
        <v>629</v>
      </c>
      <c r="I30">
        <v>14.5</v>
      </c>
      <c r="J30">
        <v>8</v>
      </c>
      <c r="K30">
        <v>8.2666666670000009</v>
      </c>
      <c r="L30">
        <v>5.923076923</v>
      </c>
      <c r="M30">
        <v>29</v>
      </c>
      <c r="N30">
        <v>112</v>
      </c>
      <c r="O30">
        <v>124</v>
      </c>
      <c r="P30">
        <v>77</v>
      </c>
      <c r="Q30">
        <v>6</v>
      </c>
      <c r="R30">
        <v>116</v>
      </c>
      <c r="S30">
        <v>195</v>
      </c>
      <c r="T30">
        <v>266</v>
      </c>
      <c r="U30">
        <v>46</v>
      </c>
      <c r="V30">
        <v>0.16259999999999999</v>
      </c>
      <c r="W30">
        <v>5.6384999999999996</v>
      </c>
      <c r="X30" s="1">
        <v>0.11</v>
      </c>
      <c r="Y30">
        <v>386</v>
      </c>
      <c r="Z30">
        <v>51</v>
      </c>
      <c r="AA30">
        <v>375</v>
      </c>
      <c r="AB30">
        <v>44</v>
      </c>
      <c r="AC30">
        <v>0</v>
      </c>
      <c r="AD30">
        <v>8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12</v>
      </c>
      <c r="AO30">
        <v>0</v>
      </c>
      <c r="AP30">
        <v>3</v>
      </c>
      <c r="AQ30" t="s">
        <v>649</v>
      </c>
      <c r="AR30" t="s">
        <v>650</v>
      </c>
      <c r="AS30">
        <v>1</v>
      </c>
    </row>
    <row r="31" spans="1:45" x14ac:dyDescent="0.25">
      <c r="A31">
        <v>34162</v>
      </c>
      <c r="B31" t="s">
        <v>663</v>
      </c>
      <c r="C31" s="85" t="str">
        <f>VLOOKUP(A31,ADM!$A$1:$N$343,14,0)</f>
        <v>CA Hérault-Méditerranée</v>
      </c>
      <c r="D31">
        <v>274</v>
      </c>
      <c r="E31">
        <v>217</v>
      </c>
      <c r="F31" t="s">
        <v>231</v>
      </c>
      <c r="G31" t="s">
        <v>665</v>
      </c>
      <c r="H31">
        <v>200</v>
      </c>
      <c r="I31" t="s">
        <v>114</v>
      </c>
      <c r="J31">
        <v>1.8571428569999999</v>
      </c>
      <c r="K31">
        <v>1.24</v>
      </c>
      <c r="L31">
        <v>2.6428571430000001</v>
      </c>
      <c r="M31">
        <v>5</v>
      </c>
      <c r="N31">
        <v>26</v>
      </c>
      <c r="O31">
        <v>31</v>
      </c>
      <c r="P31">
        <v>37</v>
      </c>
      <c r="Q31">
        <v>5</v>
      </c>
      <c r="R31">
        <v>37</v>
      </c>
      <c r="S31">
        <v>85</v>
      </c>
      <c r="T31">
        <v>53</v>
      </c>
      <c r="U31">
        <v>20</v>
      </c>
      <c r="V31">
        <v>0</v>
      </c>
      <c r="W31">
        <v>9.2714999999999996</v>
      </c>
      <c r="X31" s="1">
        <v>0.11</v>
      </c>
      <c r="Y31">
        <v>156</v>
      </c>
      <c r="Z31">
        <v>7</v>
      </c>
      <c r="AA31">
        <v>112</v>
      </c>
      <c r="AB31">
        <v>53</v>
      </c>
      <c r="AC31">
        <v>0</v>
      </c>
      <c r="AD31">
        <v>19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22</v>
      </c>
      <c r="AO31">
        <v>0</v>
      </c>
      <c r="AP31">
        <v>3</v>
      </c>
      <c r="AQ31" t="s">
        <v>666</v>
      </c>
      <c r="AR31" t="s">
        <v>667</v>
      </c>
      <c r="AS31">
        <v>1</v>
      </c>
    </row>
    <row r="32" spans="1:45" x14ac:dyDescent="0.25">
      <c r="A32">
        <v>34169</v>
      </c>
      <c r="B32" t="s">
        <v>684</v>
      </c>
      <c r="C32" s="85" t="str">
        <f>VLOOKUP(A32,ADM!$A$1:$N$343,14,0)</f>
        <v>Montpellier Méditerranée Métropole</v>
      </c>
      <c r="D32">
        <v>71</v>
      </c>
      <c r="E32">
        <v>369</v>
      </c>
      <c r="F32" t="s">
        <v>231</v>
      </c>
      <c r="G32" t="s">
        <v>686</v>
      </c>
      <c r="H32">
        <v>69</v>
      </c>
      <c r="I32" t="s">
        <v>114</v>
      </c>
      <c r="J32" t="s">
        <v>114</v>
      </c>
      <c r="K32">
        <v>4.3333333329999997</v>
      </c>
      <c r="L32" t="s">
        <v>114</v>
      </c>
      <c r="M32">
        <v>3</v>
      </c>
      <c r="N32">
        <v>17</v>
      </c>
      <c r="O32">
        <v>13</v>
      </c>
      <c r="P32">
        <v>10</v>
      </c>
      <c r="Q32">
        <v>0</v>
      </c>
      <c r="R32">
        <v>14</v>
      </c>
      <c r="S32">
        <v>40</v>
      </c>
      <c r="T32">
        <v>15</v>
      </c>
      <c r="U32">
        <v>0</v>
      </c>
      <c r="V32">
        <v>0</v>
      </c>
      <c r="W32">
        <v>4.3478000000000003</v>
      </c>
      <c r="X32" s="1">
        <v>0.04</v>
      </c>
      <c r="Y32">
        <v>53</v>
      </c>
      <c r="Z32">
        <v>9</v>
      </c>
      <c r="AA32">
        <v>49</v>
      </c>
      <c r="AB32">
        <v>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2</v>
      </c>
      <c r="AQ32" t="s">
        <v>687</v>
      </c>
      <c r="AR32" t="s">
        <v>688</v>
      </c>
      <c r="AS32">
        <v>1</v>
      </c>
    </row>
    <row r="33" spans="1:45" x14ac:dyDescent="0.25">
      <c r="A33">
        <v>34172</v>
      </c>
      <c r="B33" t="s">
        <v>147</v>
      </c>
      <c r="C33" s="85" t="str">
        <f>VLOOKUP(A33,ADM!$A$1:$N$343,14,0)</f>
        <v>Montpellier Méditerranée Métropole</v>
      </c>
      <c r="D33">
        <v>34941</v>
      </c>
      <c r="E33">
        <v>1337</v>
      </c>
      <c r="F33" t="s">
        <v>231</v>
      </c>
      <c r="G33" t="s">
        <v>695</v>
      </c>
      <c r="H33">
        <v>29653</v>
      </c>
      <c r="I33" t="e">
        <v>#VALUE!</v>
      </c>
      <c r="J33" t="e">
        <v>#VALUE!</v>
      </c>
      <c r="K33" t="e">
        <v>#VALUE!</v>
      </c>
      <c r="L33" t="e">
        <v>#VALUE!</v>
      </c>
      <c r="M33" t="s">
        <v>696</v>
      </c>
      <c r="N33" t="s">
        <v>697</v>
      </c>
      <c r="O33" t="s">
        <v>698</v>
      </c>
      <c r="P33" t="s">
        <v>699</v>
      </c>
      <c r="Q33">
        <v>3525</v>
      </c>
      <c r="R33">
        <v>5279</v>
      </c>
      <c r="S33">
        <v>11279</v>
      </c>
      <c r="T33">
        <v>7315</v>
      </c>
      <c r="U33">
        <v>2255</v>
      </c>
      <c r="V33">
        <v>0.76590000000000003</v>
      </c>
      <c r="W33">
        <v>5.9638</v>
      </c>
      <c r="X33" s="1">
        <v>0.2</v>
      </c>
      <c r="Y33">
        <v>17771</v>
      </c>
      <c r="Z33">
        <v>2277</v>
      </c>
      <c r="AA33">
        <v>17963</v>
      </c>
      <c r="AB33">
        <v>1981</v>
      </c>
      <c r="AC33">
        <v>0</v>
      </c>
      <c r="AD33">
        <v>422</v>
      </c>
      <c r="AE33">
        <v>52</v>
      </c>
      <c r="AF33">
        <v>335</v>
      </c>
      <c r="AG33">
        <v>18</v>
      </c>
      <c r="AH33">
        <v>30</v>
      </c>
      <c r="AI33">
        <v>32</v>
      </c>
      <c r="AJ33">
        <v>174</v>
      </c>
      <c r="AK33">
        <v>139</v>
      </c>
      <c r="AL33">
        <v>291</v>
      </c>
      <c r="AM33">
        <v>85</v>
      </c>
      <c r="AN33">
        <v>791</v>
      </c>
      <c r="AO33">
        <v>85</v>
      </c>
      <c r="AP33">
        <v>2</v>
      </c>
      <c r="AQ33" t="s">
        <v>700</v>
      </c>
      <c r="AR33" t="s">
        <v>701</v>
      </c>
      <c r="AS33">
        <v>1</v>
      </c>
    </row>
    <row r="34" spans="1:45" x14ac:dyDescent="0.25">
      <c r="A34">
        <v>34198</v>
      </c>
      <c r="B34" t="s">
        <v>764</v>
      </c>
      <c r="C34" s="85" t="str">
        <f>VLOOKUP(A34,ADM!$A$1:$N$343,14,0)</f>
        <v>Montpellier Méditerranée Métropole</v>
      </c>
      <c r="D34">
        <v>622</v>
      </c>
      <c r="E34">
        <v>517</v>
      </c>
      <c r="F34" t="s">
        <v>231</v>
      </c>
      <c r="G34" t="s">
        <v>766</v>
      </c>
      <c r="H34">
        <v>170</v>
      </c>
      <c r="I34" t="s">
        <v>114</v>
      </c>
      <c r="J34">
        <v>121</v>
      </c>
      <c r="K34">
        <v>43</v>
      </c>
      <c r="L34">
        <v>59</v>
      </c>
      <c r="M34">
        <v>27</v>
      </c>
      <c r="N34">
        <v>121</v>
      </c>
      <c r="O34">
        <v>86</v>
      </c>
      <c r="P34">
        <v>59</v>
      </c>
      <c r="Q34">
        <v>0</v>
      </c>
      <c r="R34">
        <v>61</v>
      </c>
      <c r="S34">
        <v>65</v>
      </c>
      <c r="T34">
        <v>29</v>
      </c>
      <c r="U34">
        <v>15</v>
      </c>
      <c r="V34">
        <v>0</v>
      </c>
      <c r="W34">
        <v>2.3529</v>
      </c>
      <c r="X34" s="1">
        <v>0.04</v>
      </c>
      <c r="Y34">
        <v>347</v>
      </c>
      <c r="Z34">
        <v>94</v>
      </c>
      <c r="AA34">
        <v>335</v>
      </c>
      <c r="AB34">
        <v>4</v>
      </c>
      <c r="AC34">
        <v>0</v>
      </c>
      <c r="AD34">
        <v>27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17</v>
      </c>
      <c r="AM34">
        <v>0</v>
      </c>
      <c r="AN34">
        <v>50</v>
      </c>
      <c r="AO34">
        <v>0</v>
      </c>
      <c r="AP34">
        <v>3</v>
      </c>
      <c r="AQ34" t="s">
        <v>767</v>
      </c>
      <c r="AR34" t="s">
        <v>768</v>
      </c>
      <c r="AS34">
        <v>1</v>
      </c>
    </row>
    <row r="35" spans="1:45" x14ac:dyDescent="0.25">
      <c r="A35">
        <v>34199</v>
      </c>
      <c r="B35" t="s">
        <v>202</v>
      </c>
      <c r="C35" s="85" t="str">
        <f>VLOOKUP(A35,ADM!$A$1:$N$343,14,0)</f>
        <v>CA Hérault-Méditerranée</v>
      </c>
      <c r="D35">
        <v>850</v>
      </c>
      <c r="E35">
        <v>167</v>
      </c>
      <c r="F35" t="s">
        <v>231</v>
      </c>
      <c r="G35" t="s">
        <v>770</v>
      </c>
      <c r="H35">
        <v>624</v>
      </c>
      <c r="I35" t="s">
        <v>114</v>
      </c>
      <c r="J35">
        <v>14.71428571</v>
      </c>
      <c r="K35">
        <v>4.6666666670000003</v>
      </c>
      <c r="L35">
        <v>4.2142857139999998</v>
      </c>
      <c r="M35">
        <v>22</v>
      </c>
      <c r="N35">
        <v>103</v>
      </c>
      <c r="O35">
        <v>70</v>
      </c>
      <c r="P35">
        <v>59</v>
      </c>
      <c r="Q35">
        <v>19</v>
      </c>
      <c r="R35">
        <v>116</v>
      </c>
      <c r="S35">
        <v>221</v>
      </c>
      <c r="T35">
        <v>206</v>
      </c>
      <c r="U35">
        <v>62</v>
      </c>
      <c r="V35">
        <v>0.16309999999999999</v>
      </c>
      <c r="W35">
        <v>6.5252999999999997</v>
      </c>
      <c r="X35" s="1">
        <v>0.15</v>
      </c>
      <c r="Y35">
        <v>298</v>
      </c>
      <c r="Z35">
        <v>58</v>
      </c>
      <c r="AA35">
        <v>280</v>
      </c>
      <c r="AB35">
        <v>36</v>
      </c>
      <c r="AC35">
        <v>0</v>
      </c>
      <c r="AD35">
        <v>31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109</v>
      </c>
      <c r="AM35">
        <v>70</v>
      </c>
      <c r="AN35">
        <v>65</v>
      </c>
      <c r="AO35">
        <v>13</v>
      </c>
      <c r="AP35">
        <v>3</v>
      </c>
      <c r="AQ35" t="s">
        <v>771</v>
      </c>
      <c r="AR35" t="s">
        <v>772</v>
      </c>
      <c r="AS35">
        <v>1</v>
      </c>
    </row>
    <row r="36" spans="1:45" x14ac:dyDescent="0.25">
      <c r="A36">
        <v>34202</v>
      </c>
      <c r="B36" t="s">
        <v>777</v>
      </c>
      <c r="C36" s="85" t="str">
        <f>VLOOKUP(A36,ADM!$A$1:$N$343,14,0)</f>
        <v>Montpellier Méditerranée Métropole</v>
      </c>
      <c r="D36">
        <v>499</v>
      </c>
      <c r="E36">
        <v>354</v>
      </c>
      <c r="F36" t="s">
        <v>231</v>
      </c>
      <c r="G36" t="s">
        <v>779</v>
      </c>
      <c r="H36">
        <v>452</v>
      </c>
      <c r="I36" t="s">
        <v>114</v>
      </c>
      <c r="J36">
        <v>17.714285709999999</v>
      </c>
      <c r="K36">
        <v>8.923076923</v>
      </c>
      <c r="L36">
        <v>22</v>
      </c>
      <c r="M36">
        <v>15</v>
      </c>
      <c r="N36">
        <v>124</v>
      </c>
      <c r="O36">
        <v>116</v>
      </c>
      <c r="P36">
        <v>88</v>
      </c>
      <c r="Q36">
        <v>0</v>
      </c>
      <c r="R36">
        <v>105</v>
      </c>
      <c r="S36">
        <v>195</v>
      </c>
      <c r="T36">
        <v>117</v>
      </c>
      <c r="U36">
        <v>35</v>
      </c>
      <c r="V36">
        <v>0.44350000000000001</v>
      </c>
      <c r="W36">
        <v>4.8780000000000001</v>
      </c>
      <c r="X36" s="1">
        <v>0.16</v>
      </c>
      <c r="Y36">
        <v>307</v>
      </c>
      <c r="Z36">
        <v>18</v>
      </c>
      <c r="AA36">
        <v>370</v>
      </c>
      <c r="AB36">
        <v>24</v>
      </c>
      <c r="AC36">
        <v>0</v>
      </c>
      <c r="AD36">
        <v>4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10</v>
      </c>
      <c r="AM36">
        <v>0</v>
      </c>
      <c r="AN36">
        <v>7</v>
      </c>
      <c r="AO36">
        <v>0</v>
      </c>
      <c r="AP36">
        <v>3</v>
      </c>
      <c r="AQ36" t="s">
        <v>780</v>
      </c>
      <c r="AR36" t="s">
        <v>234</v>
      </c>
      <c r="AS36">
        <v>1</v>
      </c>
    </row>
    <row r="37" spans="1:45" x14ac:dyDescent="0.25">
      <c r="A37">
        <v>34217</v>
      </c>
      <c r="B37" t="s">
        <v>816</v>
      </c>
      <c r="C37" s="85" t="str">
        <f>VLOOKUP(A37,ADM!$A$1:$N$343,14,0)</f>
        <v>Montpellier Méditerranée Métropole</v>
      </c>
      <c r="D37">
        <v>294</v>
      </c>
      <c r="E37">
        <v>374</v>
      </c>
      <c r="F37" t="s">
        <v>231</v>
      </c>
      <c r="G37" t="s">
        <v>818</v>
      </c>
      <c r="H37">
        <v>239</v>
      </c>
      <c r="I37" t="s">
        <v>114</v>
      </c>
      <c r="J37">
        <v>13</v>
      </c>
      <c r="K37">
        <v>3.625</v>
      </c>
      <c r="L37">
        <v>4.6666666670000003</v>
      </c>
      <c r="M37">
        <v>14</v>
      </c>
      <c r="N37">
        <v>39</v>
      </c>
      <c r="O37">
        <v>29</v>
      </c>
      <c r="P37">
        <v>28</v>
      </c>
      <c r="Q37">
        <v>1</v>
      </c>
      <c r="R37">
        <v>51</v>
      </c>
      <c r="S37">
        <v>98</v>
      </c>
      <c r="T37">
        <v>75</v>
      </c>
      <c r="U37">
        <v>14</v>
      </c>
      <c r="V37">
        <v>0</v>
      </c>
      <c r="W37">
        <v>7.5629999999999997</v>
      </c>
      <c r="X37" s="1">
        <v>0.1</v>
      </c>
      <c r="Y37">
        <v>143</v>
      </c>
      <c r="Z37">
        <v>75</v>
      </c>
      <c r="AA37">
        <v>136</v>
      </c>
      <c r="AB37">
        <v>17</v>
      </c>
      <c r="AC37">
        <v>0</v>
      </c>
      <c r="AD37">
        <v>15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8</v>
      </c>
      <c r="AM37">
        <v>0</v>
      </c>
      <c r="AN37">
        <v>30</v>
      </c>
      <c r="AO37">
        <v>0</v>
      </c>
      <c r="AP37">
        <v>3</v>
      </c>
      <c r="AQ37" t="s">
        <v>819</v>
      </c>
      <c r="AR37" t="s">
        <v>405</v>
      </c>
      <c r="AS37">
        <v>1</v>
      </c>
    </row>
    <row r="38" spans="1:45" x14ac:dyDescent="0.25">
      <c r="A38">
        <v>34247</v>
      </c>
      <c r="B38" t="s">
        <v>885</v>
      </c>
      <c r="C38" s="85" t="str">
        <f>VLOOKUP(A38,ADM!$A$1:$N$343,14,0)</f>
        <v>CC du Grand Pic Saint-Loup</v>
      </c>
      <c r="D38">
        <v>235</v>
      </c>
      <c r="E38">
        <v>324</v>
      </c>
      <c r="F38" t="s">
        <v>231</v>
      </c>
      <c r="G38" t="s">
        <v>887</v>
      </c>
      <c r="H38">
        <v>29</v>
      </c>
      <c r="I38">
        <v>1.5</v>
      </c>
      <c r="J38" t="s">
        <v>114</v>
      </c>
      <c r="K38" t="s">
        <v>114</v>
      </c>
      <c r="L38" t="s">
        <v>114</v>
      </c>
      <c r="M38">
        <v>3</v>
      </c>
      <c r="N38">
        <v>16</v>
      </c>
      <c r="O38">
        <v>7</v>
      </c>
      <c r="P38">
        <v>4</v>
      </c>
      <c r="Q38">
        <v>20</v>
      </c>
      <c r="R38">
        <v>4</v>
      </c>
      <c r="S38">
        <v>5</v>
      </c>
      <c r="T38">
        <v>0</v>
      </c>
      <c r="U38">
        <v>0</v>
      </c>
      <c r="V38">
        <v>3.4483000000000001</v>
      </c>
      <c r="W38">
        <v>6.8966000000000003</v>
      </c>
      <c r="X38" s="1">
        <v>0.01</v>
      </c>
      <c r="Y38">
        <v>29</v>
      </c>
      <c r="Z38">
        <v>4</v>
      </c>
      <c r="AA38">
        <v>33</v>
      </c>
      <c r="AB38">
        <v>2</v>
      </c>
      <c r="AC38">
        <v>0</v>
      </c>
      <c r="AD38">
        <v>24</v>
      </c>
      <c r="AE38">
        <v>0</v>
      </c>
      <c r="AF38">
        <v>36</v>
      </c>
      <c r="AG38">
        <v>2</v>
      </c>
      <c r="AH38">
        <v>0</v>
      </c>
      <c r="AI38">
        <v>0</v>
      </c>
      <c r="AJ38">
        <v>0</v>
      </c>
      <c r="AK38">
        <v>0</v>
      </c>
      <c r="AL38">
        <v>16</v>
      </c>
      <c r="AM38">
        <v>0</v>
      </c>
      <c r="AN38">
        <v>38</v>
      </c>
      <c r="AO38">
        <v>0</v>
      </c>
      <c r="AP38">
        <v>3</v>
      </c>
      <c r="AQ38" t="s">
        <v>888</v>
      </c>
      <c r="AR38" t="s">
        <v>711</v>
      </c>
      <c r="AS38">
        <v>1</v>
      </c>
    </row>
    <row r="39" spans="1:45" x14ac:dyDescent="0.25">
      <c r="A39">
        <v>34270</v>
      </c>
      <c r="B39" t="s">
        <v>941</v>
      </c>
      <c r="C39" s="85" t="str">
        <f>VLOOKUP(A39,ADM!$A$1:$N$343,14,0)</f>
        <v>Montpellier Méditerranée Métropole</v>
      </c>
      <c r="D39">
        <v>739</v>
      </c>
      <c r="E39">
        <v>680</v>
      </c>
      <c r="F39" t="s">
        <v>231</v>
      </c>
      <c r="G39" t="s">
        <v>943</v>
      </c>
      <c r="H39">
        <v>748</v>
      </c>
      <c r="I39">
        <v>40</v>
      </c>
      <c r="J39">
        <v>4.7916666670000003</v>
      </c>
      <c r="K39">
        <v>3.4729729730000001</v>
      </c>
      <c r="L39">
        <v>6.0250000000000004</v>
      </c>
      <c r="M39">
        <v>40</v>
      </c>
      <c r="N39">
        <v>230</v>
      </c>
      <c r="O39">
        <v>257</v>
      </c>
      <c r="P39">
        <v>241</v>
      </c>
      <c r="Q39">
        <v>2</v>
      </c>
      <c r="R39">
        <v>243</v>
      </c>
      <c r="S39">
        <v>289</v>
      </c>
      <c r="T39">
        <v>198</v>
      </c>
      <c r="U39">
        <v>16</v>
      </c>
      <c r="V39">
        <v>0.53979999999999995</v>
      </c>
      <c r="W39">
        <v>5.3834</v>
      </c>
      <c r="X39" s="1">
        <v>0.17</v>
      </c>
      <c r="Y39">
        <v>741</v>
      </c>
      <c r="Z39">
        <v>109</v>
      </c>
      <c r="AA39">
        <v>868</v>
      </c>
      <c r="AB39">
        <v>163</v>
      </c>
      <c r="AC39">
        <v>0</v>
      </c>
      <c r="AD39">
        <v>42</v>
      </c>
      <c r="AE39">
        <v>28</v>
      </c>
      <c r="AF39">
        <v>0</v>
      </c>
      <c r="AG39">
        <v>0</v>
      </c>
      <c r="AH39">
        <v>0</v>
      </c>
      <c r="AI39">
        <v>28</v>
      </c>
      <c r="AJ39">
        <v>0</v>
      </c>
      <c r="AK39">
        <v>0</v>
      </c>
      <c r="AL39">
        <v>0</v>
      </c>
      <c r="AM39">
        <v>0</v>
      </c>
      <c r="AN39">
        <v>76</v>
      </c>
      <c r="AO39">
        <v>19</v>
      </c>
      <c r="AP39">
        <v>2</v>
      </c>
      <c r="AQ39" t="s">
        <v>944</v>
      </c>
      <c r="AR39" t="s">
        <v>783</v>
      </c>
      <c r="AS39">
        <v>1</v>
      </c>
    </row>
    <row r="40" spans="1:45" x14ac:dyDescent="0.25">
      <c r="A40">
        <v>34299</v>
      </c>
      <c r="B40" t="s">
        <v>1011</v>
      </c>
      <c r="C40" s="85" t="str">
        <f>VLOOKUP(A40,ADM!$A$1:$N$343,14,0)</f>
        <v>CA de Béziers-Méditerranée</v>
      </c>
      <c r="D40">
        <v>400</v>
      </c>
      <c r="E40">
        <v>632</v>
      </c>
      <c r="F40" t="s">
        <v>231</v>
      </c>
      <c r="G40" t="s">
        <v>1013</v>
      </c>
      <c r="H40">
        <v>356</v>
      </c>
      <c r="I40" t="s">
        <v>114</v>
      </c>
      <c r="J40">
        <v>5.0476190479999996</v>
      </c>
      <c r="K40">
        <v>2.4750000000000001</v>
      </c>
      <c r="L40">
        <v>5.4</v>
      </c>
      <c r="M40">
        <v>21</v>
      </c>
      <c r="N40">
        <v>106</v>
      </c>
      <c r="O40">
        <v>99</v>
      </c>
      <c r="P40">
        <v>81</v>
      </c>
      <c r="Q40">
        <v>0</v>
      </c>
      <c r="R40">
        <v>86</v>
      </c>
      <c r="S40">
        <v>171</v>
      </c>
      <c r="T40">
        <v>97</v>
      </c>
      <c r="U40">
        <v>2</v>
      </c>
      <c r="V40">
        <v>1.4205000000000001</v>
      </c>
      <c r="W40">
        <v>9.1502999999999997</v>
      </c>
      <c r="X40" s="1">
        <v>0.11</v>
      </c>
      <c r="Y40">
        <v>381</v>
      </c>
      <c r="Z40">
        <v>109</v>
      </c>
      <c r="AA40">
        <v>331</v>
      </c>
      <c r="AB40">
        <v>76</v>
      </c>
      <c r="AC40">
        <v>0</v>
      </c>
      <c r="AD40">
        <v>9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17</v>
      </c>
      <c r="AO40">
        <v>0</v>
      </c>
      <c r="AP40">
        <v>3</v>
      </c>
      <c r="AQ40" t="s">
        <v>495</v>
      </c>
      <c r="AR40" t="s">
        <v>1014</v>
      </c>
      <c r="AS40">
        <v>1</v>
      </c>
    </row>
    <row r="41" spans="1:45" x14ac:dyDescent="0.25">
      <c r="A41">
        <v>34300</v>
      </c>
      <c r="B41" t="s">
        <v>1015</v>
      </c>
      <c r="C41" s="85" t="str">
        <f>VLOOKUP(A41,ADM!$A$1:$N$343,14,0)</f>
        <v>CA de Béziers-Méditerranée</v>
      </c>
      <c r="D41">
        <v>254</v>
      </c>
      <c r="E41">
        <v>331</v>
      </c>
      <c r="F41" t="s">
        <v>231</v>
      </c>
      <c r="G41" t="s">
        <v>1017</v>
      </c>
      <c r="H41">
        <v>207</v>
      </c>
      <c r="I41" t="s">
        <v>114</v>
      </c>
      <c r="J41">
        <v>40</v>
      </c>
      <c r="K41">
        <v>6.8333333329999997</v>
      </c>
      <c r="L41">
        <v>5</v>
      </c>
      <c r="M41">
        <v>6</v>
      </c>
      <c r="N41">
        <v>40</v>
      </c>
      <c r="O41">
        <v>41</v>
      </c>
      <c r="P41">
        <v>30</v>
      </c>
      <c r="Q41">
        <v>0</v>
      </c>
      <c r="R41">
        <v>29</v>
      </c>
      <c r="S41">
        <v>83</v>
      </c>
      <c r="T41">
        <v>83</v>
      </c>
      <c r="U41">
        <v>12</v>
      </c>
      <c r="V41">
        <v>1.4778</v>
      </c>
      <c r="W41">
        <v>8.3743999999999996</v>
      </c>
      <c r="X41" s="1">
        <v>0.1</v>
      </c>
      <c r="Y41">
        <v>157</v>
      </c>
      <c r="Z41">
        <v>24</v>
      </c>
      <c r="AA41">
        <v>135</v>
      </c>
      <c r="AB41">
        <v>13</v>
      </c>
      <c r="AC41">
        <v>0</v>
      </c>
      <c r="AD41">
        <v>13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25</v>
      </c>
      <c r="AO41">
        <v>0</v>
      </c>
      <c r="AP41">
        <v>3</v>
      </c>
      <c r="AQ41" t="s">
        <v>1018</v>
      </c>
      <c r="AR41" t="s">
        <v>1019</v>
      </c>
      <c r="AS41">
        <v>1</v>
      </c>
    </row>
    <row r="42" spans="1:45" x14ac:dyDescent="0.25">
      <c r="A42">
        <v>34301</v>
      </c>
      <c r="B42" t="s">
        <v>1020</v>
      </c>
      <c r="C42" s="85" t="str">
        <f>VLOOKUP(A42,ADM!$A$1:$N$343,14,0)</f>
        <v>Sète Agglopôle Méditerranée</v>
      </c>
      <c r="D42">
        <v>4946</v>
      </c>
      <c r="E42">
        <v>1129</v>
      </c>
      <c r="F42" t="s">
        <v>231</v>
      </c>
      <c r="G42" t="s">
        <v>1024</v>
      </c>
      <c r="H42">
        <v>4038</v>
      </c>
      <c r="I42">
        <v>32.571428570000002</v>
      </c>
      <c r="J42">
        <v>27.88</v>
      </c>
      <c r="K42">
        <v>13.16326531</v>
      </c>
      <c r="L42">
        <v>14.68965517</v>
      </c>
      <c r="M42">
        <v>228</v>
      </c>
      <c r="N42">
        <v>697</v>
      </c>
      <c r="O42">
        <v>645</v>
      </c>
      <c r="P42">
        <v>426</v>
      </c>
      <c r="Q42">
        <v>106</v>
      </c>
      <c r="R42">
        <v>777</v>
      </c>
      <c r="S42">
        <v>1677</v>
      </c>
      <c r="T42">
        <v>1163</v>
      </c>
      <c r="U42">
        <v>315</v>
      </c>
      <c r="V42">
        <v>1.4486000000000001</v>
      </c>
      <c r="W42">
        <v>6.2244999999999999</v>
      </c>
      <c r="X42" s="1">
        <v>0.18</v>
      </c>
      <c r="Y42">
        <v>2281</v>
      </c>
      <c r="Z42">
        <v>260</v>
      </c>
      <c r="AA42">
        <v>2222</v>
      </c>
      <c r="AB42">
        <v>110</v>
      </c>
      <c r="AC42">
        <v>0</v>
      </c>
      <c r="AD42">
        <v>69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15</v>
      </c>
      <c r="AM42">
        <v>0</v>
      </c>
      <c r="AN42">
        <v>137</v>
      </c>
      <c r="AO42">
        <v>12</v>
      </c>
      <c r="AP42">
        <v>3</v>
      </c>
      <c r="AQ42" t="s">
        <v>1025</v>
      </c>
      <c r="AR42" t="s">
        <v>1026</v>
      </c>
      <c r="AS42">
        <v>1</v>
      </c>
    </row>
    <row r="43" spans="1:45" x14ac:dyDescent="0.25">
      <c r="A43">
        <v>34327</v>
      </c>
      <c r="B43" t="s">
        <v>1083</v>
      </c>
      <c r="C43" s="85" t="str">
        <f>VLOOKUP(A43,ADM!$A$1:$N$343,14,0)</f>
        <v>Montpellier Méditerranée Métropole</v>
      </c>
      <c r="D43">
        <v>377</v>
      </c>
      <c r="E43">
        <v>376</v>
      </c>
      <c r="F43" t="s">
        <v>231</v>
      </c>
      <c r="G43" t="s">
        <v>1085</v>
      </c>
      <c r="H43">
        <v>351</v>
      </c>
      <c r="I43">
        <v>23</v>
      </c>
      <c r="J43">
        <v>8.6</v>
      </c>
      <c r="K43">
        <v>2.3333333330000001</v>
      </c>
      <c r="L43">
        <v>5.9</v>
      </c>
      <c r="M43">
        <v>23</v>
      </c>
      <c r="N43">
        <v>86</v>
      </c>
      <c r="O43">
        <v>84</v>
      </c>
      <c r="P43">
        <v>59</v>
      </c>
      <c r="Q43">
        <v>7</v>
      </c>
      <c r="R43">
        <v>83</v>
      </c>
      <c r="S43">
        <v>186</v>
      </c>
      <c r="T43">
        <v>70</v>
      </c>
      <c r="U43">
        <v>5</v>
      </c>
      <c r="V43">
        <v>0.56979999999999997</v>
      </c>
      <c r="W43">
        <v>15.697699999999999</v>
      </c>
      <c r="X43" s="1">
        <v>0.13</v>
      </c>
      <c r="Y43">
        <v>277</v>
      </c>
      <c r="Z43">
        <v>87</v>
      </c>
      <c r="AA43">
        <v>275</v>
      </c>
      <c r="AB43">
        <v>57</v>
      </c>
      <c r="AC43">
        <v>0</v>
      </c>
      <c r="AD43">
        <v>25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46</v>
      </c>
      <c r="AO43">
        <v>0</v>
      </c>
      <c r="AP43">
        <v>2</v>
      </c>
      <c r="AQ43" t="s">
        <v>1086</v>
      </c>
      <c r="AR43" t="s">
        <v>1087</v>
      </c>
      <c r="AS43">
        <v>1</v>
      </c>
    </row>
    <row r="44" spans="1:45" x14ac:dyDescent="0.25">
      <c r="A44">
        <v>34332</v>
      </c>
      <c r="B44" t="s">
        <v>1094</v>
      </c>
      <c r="C44" s="85" t="str">
        <f>VLOOKUP(A44,ADM!$A$1:$N$343,14,0)</f>
        <v>CA Hérault-Méditerranée</v>
      </c>
      <c r="D44">
        <v>197</v>
      </c>
      <c r="E44">
        <v>545</v>
      </c>
      <c r="F44" t="s">
        <v>231</v>
      </c>
      <c r="G44" t="s">
        <v>1096</v>
      </c>
      <c r="H44">
        <v>199</v>
      </c>
      <c r="I44" t="s">
        <v>114</v>
      </c>
      <c r="J44">
        <v>1.6875</v>
      </c>
      <c r="K44">
        <v>1.6969696970000001</v>
      </c>
      <c r="L44">
        <v>2</v>
      </c>
      <c r="M44">
        <v>13</v>
      </c>
      <c r="N44">
        <v>54</v>
      </c>
      <c r="O44">
        <v>56</v>
      </c>
      <c r="P44">
        <v>30</v>
      </c>
      <c r="Q44">
        <v>4</v>
      </c>
      <c r="R44">
        <v>49</v>
      </c>
      <c r="S44">
        <v>89</v>
      </c>
      <c r="T44">
        <v>50</v>
      </c>
      <c r="U44">
        <v>7</v>
      </c>
      <c r="V44">
        <v>1.5227999999999999</v>
      </c>
      <c r="W44">
        <v>31.677</v>
      </c>
      <c r="X44" s="1">
        <v>0.08</v>
      </c>
      <c r="Y44">
        <v>199</v>
      </c>
      <c r="Z44">
        <v>6</v>
      </c>
      <c r="AA44">
        <v>166</v>
      </c>
      <c r="AB44">
        <v>80</v>
      </c>
      <c r="AC44">
        <v>0</v>
      </c>
      <c r="AD44">
        <v>28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16</v>
      </c>
      <c r="AM44">
        <v>30</v>
      </c>
      <c r="AN44">
        <v>59</v>
      </c>
      <c r="AO44">
        <v>30</v>
      </c>
      <c r="AP44">
        <v>3</v>
      </c>
      <c r="AQ44" t="s">
        <v>1097</v>
      </c>
      <c r="AR44" t="s">
        <v>1098</v>
      </c>
      <c r="AS44">
        <v>1</v>
      </c>
    </row>
    <row r="45" spans="1:45" x14ac:dyDescent="0.25">
      <c r="A45">
        <v>34336</v>
      </c>
      <c r="B45" t="s">
        <v>1105</v>
      </c>
      <c r="C45" s="85" t="str">
        <f>VLOOKUP(A45,ADM!$A$1:$N$343,14,0)</f>
        <v>CA de Béziers-Méditerranée</v>
      </c>
      <c r="D45">
        <v>109</v>
      </c>
      <c r="E45">
        <v>402</v>
      </c>
      <c r="F45" t="s">
        <v>231</v>
      </c>
      <c r="G45" t="s">
        <v>1107</v>
      </c>
      <c r="H45">
        <v>93</v>
      </c>
      <c r="I45" t="s">
        <v>114</v>
      </c>
      <c r="J45">
        <v>6.5555555559999998</v>
      </c>
      <c r="K45">
        <v>5</v>
      </c>
      <c r="L45">
        <v>5.5714285710000002</v>
      </c>
      <c r="M45">
        <v>7</v>
      </c>
      <c r="N45">
        <v>59</v>
      </c>
      <c r="O45">
        <v>85</v>
      </c>
      <c r="P45">
        <v>39</v>
      </c>
      <c r="Q45">
        <v>0</v>
      </c>
      <c r="R45">
        <v>25</v>
      </c>
      <c r="S45">
        <v>46</v>
      </c>
      <c r="T45">
        <v>22</v>
      </c>
      <c r="U45">
        <v>0</v>
      </c>
      <c r="V45">
        <v>2.2222</v>
      </c>
      <c r="W45">
        <v>1.7241</v>
      </c>
      <c r="X45" s="1">
        <v>0.05</v>
      </c>
      <c r="Y45">
        <v>134</v>
      </c>
      <c r="Z45">
        <v>16</v>
      </c>
      <c r="AA45">
        <v>203</v>
      </c>
      <c r="AB45">
        <v>33</v>
      </c>
      <c r="AC45">
        <v>0</v>
      </c>
      <c r="AD45">
        <v>89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13</v>
      </c>
      <c r="AM45">
        <v>0</v>
      </c>
      <c r="AN45">
        <v>168</v>
      </c>
      <c r="AO45">
        <v>11</v>
      </c>
      <c r="AP45">
        <v>3</v>
      </c>
      <c r="AQ45" t="s">
        <v>1108</v>
      </c>
      <c r="AR45" t="s">
        <v>1109</v>
      </c>
      <c r="AS45">
        <v>1</v>
      </c>
    </row>
    <row r="46" spans="1:45" x14ac:dyDescent="0.25">
      <c r="A46">
        <v>34337</v>
      </c>
      <c r="B46" t="s">
        <v>1110</v>
      </c>
      <c r="C46" s="85" t="str">
        <f>VLOOKUP(A46,ADM!$A$1:$N$343,14,0)</f>
        <v>Montpellier Méditerranée Métropole</v>
      </c>
      <c r="D46">
        <v>584</v>
      </c>
      <c r="E46">
        <v>418</v>
      </c>
      <c r="F46" t="s">
        <v>231</v>
      </c>
      <c r="G46" t="s">
        <v>1112</v>
      </c>
      <c r="H46">
        <v>488</v>
      </c>
      <c r="I46" t="s">
        <v>114</v>
      </c>
      <c r="J46">
        <v>15.375</v>
      </c>
      <c r="K46">
        <v>7.375</v>
      </c>
      <c r="L46">
        <v>11.33333333</v>
      </c>
      <c r="M46">
        <v>18</v>
      </c>
      <c r="N46">
        <v>123</v>
      </c>
      <c r="O46">
        <v>118</v>
      </c>
      <c r="P46">
        <v>68</v>
      </c>
      <c r="Q46">
        <v>4</v>
      </c>
      <c r="R46">
        <v>115</v>
      </c>
      <c r="S46">
        <v>213</v>
      </c>
      <c r="T46">
        <v>121</v>
      </c>
      <c r="U46">
        <v>35</v>
      </c>
      <c r="V46">
        <v>0.41489999999999999</v>
      </c>
      <c r="W46">
        <v>5.8333000000000004</v>
      </c>
      <c r="X46" s="1">
        <v>0.12</v>
      </c>
      <c r="Y46">
        <v>313</v>
      </c>
      <c r="Z46">
        <v>29</v>
      </c>
      <c r="AA46">
        <v>361</v>
      </c>
      <c r="AB46">
        <v>30</v>
      </c>
      <c r="AC46">
        <v>0</v>
      </c>
      <c r="AD46">
        <v>52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2</v>
      </c>
      <c r="AM46">
        <v>0</v>
      </c>
      <c r="AN46">
        <v>97</v>
      </c>
      <c r="AO46">
        <v>33</v>
      </c>
      <c r="AP46">
        <v>3</v>
      </c>
      <c r="AQ46" t="s">
        <v>1113</v>
      </c>
      <c r="AR46" t="s">
        <v>1114</v>
      </c>
      <c r="AS46">
        <v>1</v>
      </c>
    </row>
    <row r="47" spans="1:45" x14ac:dyDescent="0.25">
      <c r="A47">
        <v>34341</v>
      </c>
      <c r="B47" t="s">
        <v>1121</v>
      </c>
      <c r="C47" s="85" t="str">
        <f>VLOOKUP(A47,ADM!$A$1:$N$343,14,0)</f>
        <v>Sète Agglopôle Méditerranée</v>
      </c>
      <c r="D47" s="85">
        <v>43</v>
      </c>
      <c r="E47" s="85">
        <v>351</v>
      </c>
      <c r="F47" s="85" t="s">
        <v>231</v>
      </c>
      <c r="G47" s="85" t="s">
        <v>1123</v>
      </c>
      <c r="H47" s="85">
        <v>13</v>
      </c>
      <c r="I47" s="85">
        <v>3</v>
      </c>
      <c r="J47" s="85">
        <v>2.6666666669999999</v>
      </c>
      <c r="K47" s="85">
        <v>4</v>
      </c>
      <c r="L47" s="85" t="s">
        <v>114</v>
      </c>
      <c r="M47" s="85">
        <v>3</v>
      </c>
      <c r="N47" s="85">
        <v>8</v>
      </c>
      <c r="O47" s="85">
        <v>20</v>
      </c>
      <c r="P47" s="85">
        <v>7</v>
      </c>
      <c r="Q47" s="85">
        <v>1</v>
      </c>
      <c r="R47" s="85">
        <v>4</v>
      </c>
      <c r="S47" s="85">
        <v>8</v>
      </c>
      <c r="T47" s="85">
        <v>0</v>
      </c>
      <c r="U47" s="85">
        <v>0</v>
      </c>
      <c r="V47" s="85">
        <v>0</v>
      </c>
      <c r="W47" s="85">
        <v>40</v>
      </c>
      <c r="X47" s="86">
        <v>0.01</v>
      </c>
      <c r="Y47" s="85">
        <v>42</v>
      </c>
      <c r="Z47" s="85">
        <v>1</v>
      </c>
      <c r="AA47" s="85">
        <v>41</v>
      </c>
      <c r="AB47" s="85">
        <v>9</v>
      </c>
      <c r="AC47" s="85">
        <v>0</v>
      </c>
      <c r="AD47" s="85">
        <v>4</v>
      </c>
      <c r="AE47" s="85">
        <v>0</v>
      </c>
      <c r="AF47" s="85">
        <v>0</v>
      </c>
      <c r="AG47" s="85">
        <v>0</v>
      </c>
      <c r="AH47" s="85">
        <v>0</v>
      </c>
      <c r="AI47" s="85">
        <v>0</v>
      </c>
      <c r="AJ47" s="85">
        <v>0</v>
      </c>
      <c r="AK47" s="85">
        <v>0</v>
      </c>
      <c r="AL47" s="85">
        <v>0</v>
      </c>
      <c r="AM47" s="85">
        <v>0</v>
      </c>
      <c r="AN47" s="85">
        <v>7</v>
      </c>
      <c r="AO47" s="85">
        <v>0</v>
      </c>
      <c r="AP47" s="85">
        <v>3</v>
      </c>
      <c r="AQ47" s="85" t="s">
        <v>1124</v>
      </c>
      <c r="AR47" s="85" t="s">
        <v>1125</v>
      </c>
      <c r="AS47" s="85">
        <v>1</v>
      </c>
    </row>
    <row r="48" spans="1:45" x14ac:dyDescent="0.25">
      <c r="A48">
        <v>34001</v>
      </c>
      <c r="B48" t="s">
        <v>100</v>
      </c>
      <c r="C48" s="85" t="str">
        <f>VLOOKUP(A48,ADM!$A$1:$N$343,14,0)</f>
        <v>CC les Avant-Monts</v>
      </c>
      <c r="F48" t="s">
        <v>113</v>
      </c>
      <c r="H48">
        <v>25</v>
      </c>
      <c r="I48">
        <v>3</v>
      </c>
      <c r="J48" t="s">
        <v>114</v>
      </c>
      <c r="K48">
        <v>1.6666666670000001</v>
      </c>
      <c r="L48">
        <v>1.3333333329999999</v>
      </c>
      <c r="M48">
        <v>3</v>
      </c>
      <c r="N48">
        <v>3</v>
      </c>
      <c r="O48">
        <v>5</v>
      </c>
      <c r="P48">
        <v>4</v>
      </c>
      <c r="Q48">
        <v>1</v>
      </c>
      <c r="R48">
        <v>2</v>
      </c>
      <c r="S48">
        <v>9</v>
      </c>
      <c r="T48">
        <v>6</v>
      </c>
      <c r="U48">
        <v>7</v>
      </c>
      <c r="V48">
        <v>0</v>
      </c>
      <c r="W48">
        <v>20</v>
      </c>
      <c r="X48" s="1">
        <v>0.03</v>
      </c>
      <c r="Y48">
        <v>22</v>
      </c>
      <c r="Z48">
        <v>5</v>
      </c>
      <c r="AA48">
        <v>18</v>
      </c>
      <c r="AB48">
        <v>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3</v>
      </c>
      <c r="AQ48" t="s">
        <v>116</v>
      </c>
      <c r="AR48" t="s">
        <v>117</v>
      </c>
      <c r="AS48">
        <v>3</v>
      </c>
    </row>
    <row r="49" spans="1:45" x14ac:dyDescent="0.25">
      <c r="A49">
        <v>34002</v>
      </c>
      <c r="B49" t="s">
        <v>118</v>
      </c>
      <c r="C49" s="85" t="str">
        <f>VLOOKUP(A49,ADM!$A$1:$N$343,14,0)</f>
        <v>CA Hérault-Méditerranée</v>
      </c>
      <c r="F49" t="s">
        <v>113</v>
      </c>
      <c r="H49">
        <v>29</v>
      </c>
      <c r="I49" t="s">
        <v>114</v>
      </c>
      <c r="J49" t="s">
        <v>114</v>
      </c>
      <c r="K49" t="s">
        <v>114</v>
      </c>
      <c r="L49">
        <v>3</v>
      </c>
      <c r="M49">
        <v>1</v>
      </c>
      <c r="N49">
        <v>8</v>
      </c>
      <c r="O49">
        <v>9</v>
      </c>
      <c r="P49">
        <v>6</v>
      </c>
      <c r="Q49">
        <v>0</v>
      </c>
      <c r="R49">
        <v>5</v>
      </c>
      <c r="S49">
        <v>13</v>
      </c>
      <c r="T49">
        <v>10</v>
      </c>
      <c r="U49">
        <v>1</v>
      </c>
      <c r="V49">
        <v>0</v>
      </c>
      <c r="W49">
        <v>7.1429</v>
      </c>
      <c r="X49" s="1">
        <v>0.06</v>
      </c>
      <c r="Y49">
        <v>28</v>
      </c>
      <c r="Z49">
        <v>11</v>
      </c>
      <c r="AA49">
        <v>24</v>
      </c>
      <c r="AB49">
        <v>2</v>
      </c>
      <c r="AC49">
        <v>0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3</v>
      </c>
      <c r="AO49">
        <v>0</v>
      </c>
      <c r="AP49">
        <v>3</v>
      </c>
      <c r="AQ49" t="s">
        <v>126</v>
      </c>
      <c r="AR49" t="s">
        <v>127</v>
      </c>
      <c r="AS49">
        <v>3</v>
      </c>
    </row>
    <row r="50" spans="1:45" x14ac:dyDescent="0.25">
      <c r="A50">
        <v>34004</v>
      </c>
      <c r="B50" t="s">
        <v>138</v>
      </c>
      <c r="C50" s="85" t="str">
        <f>VLOOKUP(A50,ADM!$A$1:$N$343,14,0)</f>
        <v>CC Du Minervois au Caroux en Haut-Languedoc</v>
      </c>
      <c r="F50" t="s">
        <v>113</v>
      </c>
      <c r="H50">
        <v>0</v>
      </c>
      <c r="I50" t="s">
        <v>114</v>
      </c>
      <c r="J50" t="s">
        <v>114</v>
      </c>
      <c r="K50" t="s">
        <v>114</v>
      </c>
      <c r="L50" t="s">
        <v>114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1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3</v>
      </c>
      <c r="AQ50" t="s">
        <v>145</v>
      </c>
      <c r="AR50" t="s">
        <v>145</v>
      </c>
      <c r="AS50">
        <v>3</v>
      </c>
    </row>
    <row r="51" spans="1:45" x14ac:dyDescent="0.25">
      <c r="A51">
        <v>34005</v>
      </c>
      <c r="B51" t="s">
        <v>146</v>
      </c>
      <c r="C51" s="85" t="str">
        <f>VLOOKUP(A51,ADM!$A$1:$N$343,14,0)</f>
        <v>CC des Cévennes Gangeoises et Suménoises</v>
      </c>
      <c r="F51" t="s">
        <v>113</v>
      </c>
      <c r="H51">
        <v>0</v>
      </c>
      <c r="I51" t="s">
        <v>114</v>
      </c>
      <c r="J51" t="s">
        <v>114</v>
      </c>
      <c r="K51" t="s">
        <v>114</v>
      </c>
      <c r="L51" t="s">
        <v>114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 s="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3</v>
      </c>
      <c r="AQ51" t="s">
        <v>145</v>
      </c>
      <c r="AR51" t="s">
        <v>145</v>
      </c>
      <c r="AS51">
        <v>3</v>
      </c>
    </row>
    <row r="52" spans="1:45" x14ac:dyDescent="0.25">
      <c r="A52">
        <v>34006</v>
      </c>
      <c r="B52" t="s">
        <v>157</v>
      </c>
      <c r="C52" s="85" t="str">
        <f>VLOOKUP(A52,ADM!$A$1:$N$343,14,0)</f>
        <v>CC Du Minervois au Caroux en Haut-Languedoc</v>
      </c>
      <c r="F52" t="s">
        <v>113</v>
      </c>
      <c r="H52">
        <v>0</v>
      </c>
      <c r="I52" t="s">
        <v>114</v>
      </c>
      <c r="J52" t="s">
        <v>114</v>
      </c>
      <c r="K52" t="s">
        <v>114</v>
      </c>
      <c r="L52" t="s">
        <v>114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1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3</v>
      </c>
      <c r="AQ52" t="s">
        <v>145</v>
      </c>
      <c r="AR52" t="s">
        <v>145</v>
      </c>
      <c r="AS52">
        <v>3</v>
      </c>
    </row>
    <row r="53" spans="1:45" x14ac:dyDescent="0.25">
      <c r="A53">
        <v>34007</v>
      </c>
      <c r="B53" t="s">
        <v>159</v>
      </c>
      <c r="C53" s="85" t="str">
        <f>VLOOKUP(A53,ADM!$A$1:$N$343,14,0)</f>
        <v>CC Du Minervois au Caroux en Haut-Languedoc</v>
      </c>
      <c r="F53" t="s">
        <v>113</v>
      </c>
      <c r="H53">
        <v>0</v>
      </c>
      <c r="I53" t="s">
        <v>114</v>
      </c>
      <c r="J53" t="s">
        <v>114</v>
      </c>
      <c r="K53" t="s">
        <v>114</v>
      </c>
      <c r="L53" t="s">
        <v>114</v>
      </c>
      <c r="M53">
        <v>0</v>
      </c>
      <c r="N53">
        <v>1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 s="1">
        <v>0</v>
      </c>
      <c r="Y53">
        <v>1</v>
      </c>
      <c r="Z53">
        <v>0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3</v>
      </c>
      <c r="AQ53" t="s">
        <v>145</v>
      </c>
      <c r="AR53" t="s">
        <v>145</v>
      </c>
      <c r="AS53">
        <v>3</v>
      </c>
    </row>
    <row r="54" spans="1:45" x14ac:dyDescent="0.25">
      <c r="A54">
        <v>34008</v>
      </c>
      <c r="B54" t="s">
        <v>161</v>
      </c>
      <c r="C54" s="85" t="str">
        <f>VLOOKUP(A54,ADM!$A$1:$N$343,14,0)</f>
        <v>CC Grand Orb en Languedoc</v>
      </c>
      <c r="F54" t="s">
        <v>113</v>
      </c>
      <c r="H54">
        <v>10</v>
      </c>
      <c r="I54" t="s">
        <v>114</v>
      </c>
      <c r="J54" t="s">
        <v>114</v>
      </c>
      <c r="K54">
        <v>1</v>
      </c>
      <c r="L54" t="s">
        <v>114</v>
      </c>
      <c r="M54">
        <v>0</v>
      </c>
      <c r="N54">
        <v>2</v>
      </c>
      <c r="O54">
        <v>1</v>
      </c>
      <c r="P54">
        <v>2</v>
      </c>
      <c r="Q54">
        <v>0</v>
      </c>
      <c r="R54">
        <v>3</v>
      </c>
      <c r="S54">
        <v>5</v>
      </c>
      <c r="T54">
        <v>2</v>
      </c>
      <c r="U54">
        <v>0</v>
      </c>
      <c r="V54">
        <v>0</v>
      </c>
      <c r="W54">
        <v>10</v>
      </c>
      <c r="X54" s="1">
        <v>0.04</v>
      </c>
      <c r="Y54">
        <v>3</v>
      </c>
      <c r="Z54">
        <v>0</v>
      </c>
      <c r="AA54">
        <v>5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3</v>
      </c>
      <c r="AQ54" t="s">
        <v>145</v>
      </c>
      <c r="AR54" t="s">
        <v>168</v>
      </c>
      <c r="AS54">
        <v>3</v>
      </c>
    </row>
    <row r="55" spans="1:45" x14ac:dyDescent="0.25">
      <c r="A55">
        <v>34009</v>
      </c>
      <c r="B55" t="s">
        <v>169</v>
      </c>
      <c r="C55" s="85" t="str">
        <f>VLOOKUP(A55,ADM!$A$1:$N$343,14,0)</f>
        <v>CA de Béziers-Méditerranée</v>
      </c>
      <c r="F55" t="s">
        <v>113</v>
      </c>
      <c r="H55">
        <v>13</v>
      </c>
      <c r="I55" t="s">
        <v>114</v>
      </c>
      <c r="J55" t="s">
        <v>114</v>
      </c>
      <c r="K55">
        <v>9</v>
      </c>
      <c r="L55" t="s">
        <v>114</v>
      </c>
      <c r="M55">
        <v>0</v>
      </c>
      <c r="N55">
        <v>0</v>
      </c>
      <c r="O55">
        <v>9</v>
      </c>
      <c r="P55">
        <v>3</v>
      </c>
      <c r="Q55">
        <v>0</v>
      </c>
      <c r="R55">
        <v>0</v>
      </c>
      <c r="S55">
        <v>6</v>
      </c>
      <c r="T55">
        <v>6</v>
      </c>
      <c r="U55">
        <v>1</v>
      </c>
      <c r="V55">
        <v>0</v>
      </c>
      <c r="W55">
        <v>7.6923000000000004</v>
      </c>
      <c r="X55" s="1">
        <v>0.02</v>
      </c>
      <c r="Y55">
        <v>10</v>
      </c>
      <c r="Z55">
        <v>1</v>
      </c>
      <c r="AA55">
        <v>12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3</v>
      </c>
      <c r="AQ55" t="s">
        <v>172</v>
      </c>
      <c r="AR55" t="s">
        <v>127</v>
      </c>
      <c r="AS55">
        <v>3</v>
      </c>
    </row>
    <row r="56" spans="1:45" x14ac:dyDescent="0.25">
      <c r="A56">
        <v>34010</v>
      </c>
      <c r="B56" t="s">
        <v>173</v>
      </c>
      <c r="C56" s="85" t="str">
        <f>VLOOKUP(A56,ADM!$A$1:$N$343,14,0)</f>
        <v>CC Vallée de l'hérault</v>
      </c>
      <c r="F56" t="s">
        <v>113</v>
      </c>
      <c r="H56">
        <v>60</v>
      </c>
      <c r="I56" t="s">
        <v>114</v>
      </c>
      <c r="J56" t="s">
        <v>114</v>
      </c>
      <c r="K56">
        <v>19</v>
      </c>
      <c r="L56">
        <v>4</v>
      </c>
      <c r="M56">
        <v>6</v>
      </c>
      <c r="N56">
        <v>18</v>
      </c>
      <c r="O56">
        <v>19</v>
      </c>
      <c r="P56">
        <v>4</v>
      </c>
      <c r="Q56">
        <v>0</v>
      </c>
      <c r="R56">
        <v>5</v>
      </c>
      <c r="S56">
        <v>25</v>
      </c>
      <c r="T56">
        <v>26</v>
      </c>
      <c r="U56">
        <v>4</v>
      </c>
      <c r="V56">
        <v>0</v>
      </c>
      <c r="W56">
        <v>3.3898000000000001</v>
      </c>
      <c r="X56" s="1">
        <v>0.05</v>
      </c>
      <c r="Y56">
        <v>37</v>
      </c>
      <c r="Z56">
        <v>3</v>
      </c>
      <c r="AA56">
        <v>49</v>
      </c>
      <c r="AB56">
        <v>2</v>
      </c>
      <c r="AC56">
        <v>0</v>
      </c>
      <c r="AD56">
        <v>2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</v>
      </c>
      <c r="AO56">
        <v>0</v>
      </c>
      <c r="AP56">
        <v>3</v>
      </c>
      <c r="AQ56" t="s">
        <v>181</v>
      </c>
      <c r="AR56" t="s">
        <v>182</v>
      </c>
      <c r="AS56">
        <v>2</v>
      </c>
    </row>
    <row r="57" spans="1:45" x14ac:dyDescent="0.25">
      <c r="A57">
        <v>34011</v>
      </c>
      <c r="B57" t="s">
        <v>183</v>
      </c>
      <c r="C57" s="85" t="str">
        <f>VLOOKUP(A57,ADM!$A$1:$N$343,14,0)</f>
        <v>CC Vallée de l'hérault</v>
      </c>
      <c r="F57" t="s">
        <v>113</v>
      </c>
      <c r="H57">
        <v>0</v>
      </c>
      <c r="I57" t="s">
        <v>114</v>
      </c>
      <c r="J57" t="s">
        <v>114</v>
      </c>
      <c r="K57" t="s">
        <v>114</v>
      </c>
      <c r="L57" t="s">
        <v>114</v>
      </c>
      <c r="M57">
        <v>0</v>
      </c>
      <c r="N57">
        <v>1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1">
        <v>0</v>
      </c>
      <c r="Y57">
        <v>0</v>
      </c>
      <c r="Z57">
        <v>0</v>
      </c>
      <c r="AA57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3</v>
      </c>
      <c r="AQ57" t="s">
        <v>145</v>
      </c>
      <c r="AR57" t="s">
        <v>145</v>
      </c>
      <c r="AS57">
        <v>4</v>
      </c>
    </row>
    <row r="58" spans="1:45" x14ac:dyDescent="0.25">
      <c r="A58">
        <v>34012</v>
      </c>
      <c r="B58" t="s">
        <v>185</v>
      </c>
      <c r="C58" s="85" t="str">
        <f>VLOOKUP(A58,ADM!$A$1:$N$343,14,0)</f>
        <v>CC Vallée de l'hérault</v>
      </c>
      <c r="F58" t="s">
        <v>113</v>
      </c>
      <c r="H58">
        <v>0</v>
      </c>
      <c r="I58" t="s">
        <v>114</v>
      </c>
      <c r="J58" t="s">
        <v>114</v>
      </c>
      <c r="K58" t="s">
        <v>114</v>
      </c>
      <c r="L58" t="s">
        <v>114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1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3</v>
      </c>
      <c r="AQ58" t="s">
        <v>145</v>
      </c>
      <c r="AR58" t="s">
        <v>145</v>
      </c>
      <c r="AS58">
        <v>2</v>
      </c>
    </row>
    <row r="59" spans="1:45" x14ac:dyDescent="0.25">
      <c r="A59">
        <v>34013</v>
      </c>
      <c r="B59" t="s">
        <v>187</v>
      </c>
      <c r="C59" s="85" t="str">
        <f>VLOOKUP(A59,ADM!$A$1:$N$343,14,0)</f>
        <v>CC du Clermontais</v>
      </c>
      <c r="F59" t="s">
        <v>113</v>
      </c>
      <c r="H59">
        <v>15</v>
      </c>
      <c r="I59" t="s">
        <v>114</v>
      </c>
      <c r="J59" t="s">
        <v>114</v>
      </c>
      <c r="K59" t="s">
        <v>114</v>
      </c>
      <c r="L59" t="s">
        <v>114</v>
      </c>
      <c r="M59">
        <v>1</v>
      </c>
      <c r="N59">
        <v>1</v>
      </c>
      <c r="O59">
        <v>2</v>
      </c>
      <c r="P59">
        <v>2</v>
      </c>
      <c r="Q59">
        <v>0</v>
      </c>
      <c r="R59">
        <v>6</v>
      </c>
      <c r="S59">
        <v>2</v>
      </c>
      <c r="T59">
        <v>7</v>
      </c>
      <c r="U59">
        <v>0</v>
      </c>
      <c r="V59">
        <v>0</v>
      </c>
      <c r="W59">
        <v>0</v>
      </c>
      <c r="X59" s="1">
        <v>0.02</v>
      </c>
      <c r="Y59">
        <v>5</v>
      </c>
      <c r="Z59">
        <v>0</v>
      </c>
      <c r="AA59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3</v>
      </c>
      <c r="AQ59" t="s">
        <v>145</v>
      </c>
      <c r="AR59" t="s">
        <v>145</v>
      </c>
      <c r="AS59">
        <v>3</v>
      </c>
    </row>
    <row r="60" spans="1:45" x14ac:dyDescent="0.25">
      <c r="A60">
        <v>34014</v>
      </c>
      <c r="B60" t="s">
        <v>190</v>
      </c>
      <c r="C60" s="85" t="str">
        <f>VLOOKUP(A60,ADM!$A$1:$N$343,14,0)</f>
        <v>CC du Grand Pic Saint-Loup</v>
      </c>
      <c r="F60" t="s">
        <v>113</v>
      </c>
      <c r="H60">
        <v>0</v>
      </c>
      <c r="I60" t="s">
        <v>114</v>
      </c>
      <c r="J60" t="s">
        <v>114</v>
      </c>
      <c r="K60" t="s">
        <v>114</v>
      </c>
      <c r="L60" t="s">
        <v>114</v>
      </c>
      <c r="M60">
        <v>1</v>
      </c>
      <c r="N60">
        <v>6</v>
      </c>
      <c r="O60">
        <v>2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1">
        <v>0</v>
      </c>
      <c r="Y60">
        <v>2</v>
      </c>
      <c r="Z60">
        <v>0</v>
      </c>
      <c r="AA60">
        <v>10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3</v>
      </c>
      <c r="AQ60" t="s">
        <v>145</v>
      </c>
      <c r="AR60" t="s">
        <v>145</v>
      </c>
      <c r="AS60">
        <v>1</v>
      </c>
    </row>
    <row r="61" spans="1:45" x14ac:dyDescent="0.25">
      <c r="A61">
        <v>34015</v>
      </c>
      <c r="B61" t="s">
        <v>196</v>
      </c>
      <c r="C61" s="85" t="str">
        <f>VLOOKUP(A61,ADM!$A$1:$N$343,14,0)</f>
        <v>CC Sud-Hérault</v>
      </c>
      <c r="F61" t="s">
        <v>113</v>
      </c>
      <c r="H61">
        <v>0</v>
      </c>
      <c r="I61" t="s">
        <v>114</v>
      </c>
      <c r="J61" t="s">
        <v>114</v>
      </c>
      <c r="K61" t="s">
        <v>114</v>
      </c>
      <c r="L61" t="s">
        <v>114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3</v>
      </c>
      <c r="AQ61" t="s">
        <v>145</v>
      </c>
      <c r="AR61" t="s">
        <v>145</v>
      </c>
      <c r="AS61">
        <v>4</v>
      </c>
    </row>
    <row r="62" spans="1:45" x14ac:dyDescent="0.25">
      <c r="A62">
        <v>34016</v>
      </c>
      <c r="B62" t="s">
        <v>199</v>
      </c>
      <c r="C62" s="85" t="str">
        <f>VLOOKUP(A62,ADM!$A$1:$N$343,14,0)</f>
        <v>CC Vallée de l'hérault</v>
      </c>
      <c r="F62" t="s">
        <v>113</v>
      </c>
      <c r="H62">
        <v>0</v>
      </c>
      <c r="I62" t="s">
        <v>114</v>
      </c>
      <c r="J62" t="s">
        <v>114</v>
      </c>
      <c r="K62" t="s">
        <v>114</v>
      </c>
      <c r="L62" t="s">
        <v>114</v>
      </c>
      <c r="M62">
        <v>0</v>
      </c>
      <c r="N62">
        <v>0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s="1">
        <v>0</v>
      </c>
      <c r="Y62">
        <v>0</v>
      </c>
      <c r="Z62">
        <v>0</v>
      </c>
      <c r="AA62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3</v>
      </c>
      <c r="AQ62" t="s">
        <v>145</v>
      </c>
      <c r="AR62" t="s">
        <v>145</v>
      </c>
      <c r="AS62">
        <v>3</v>
      </c>
    </row>
    <row r="63" spans="1:45" x14ac:dyDescent="0.25">
      <c r="A63">
        <v>34017</v>
      </c>
      <c r="B63" t="s">
        <v>201</v>
      </c>
      <c r="C63" s="85" t="str">
        <f>VLOOKUP(A63,ADM!$A$1:$N$343,14,0)</f>
        <v>CA Hérault-Méditerranée</v>
      </c>
      <c r="F63" t="s">
        <v>113</v>
      </c>
      <c r="H63">
        <v>0</v>
      </c>
      <c r="I63" t="s">
        <v>114</v>
      </c>
      <c r="J63" t="s">
        <v>114</v>
      </c>
      <c r="K63" t="s">
        <v>114</v>
      </c>
      <c r="L63" t="s">
        <v>114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 s="1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3</v>
      </c>
      <c r="AQ63" t="s">
        <v>145</v>
      </c>
      <c r="AR63" t="s">
        <v>145</v>
      </c>
      <c r="AS63">
        <v>3</v>
      </c>
    </row>
    <row r="64" spans="1:45" x14ac:dyDescent="0.25">
      <c r="A64">
        <v>34018</v>
      </c>
      <c r="B64" t="s">
        <v>204</v>
      </c>
      <c r="C64" s="85" t="str">
        <f>VLOOKUP(A64,ADM!$A$1:$N$343,14,0)</f>
        <v>CC les Avant-Monts</v>
      </c>
      <c r="F64" t="s">
        <v>113</v>
      </c>
      <c r="H64">
        <v>0</v>
      </c>
      <c r="I64" t="s">
        <v>114</v>
      </c>
      <c r="J64" t="s">
        <v>114</v>
      </c>
      <c r="K64" t="s">
        <v>114</v>
      </c>
      <c r="L64" t="s">
        <v>114</v>
      </c>
      <c r="M64">
        <v>0</v>
      </c>
      <c r="N64">
        <v>2</v>
      </c>
      <c r="O64">
        <v>0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1">
        <v>0</v>
      </c>
      <c r="Y64">
        <v>12</v>
      </c>
      <c r="Z64">
        <v>0</v>
      </c>
      <c r="AA64">
        <v>18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3</v>
      </c>
      <c r="AQ64" t="s">
        <v>145</v>
      </c>
      <c r="AR64" t="s">
        <v>145</v>
      </c>
      <c r="AS64">
        <v>3</v>
      </c>
    </row>
    <row r="65" spans="1:45" x14ac:dyDescent="0.25">
      <c r="A65">
        <v>34019</v>
      </c>
      <c r="B65" t="s">
        <v>208</v>
      </c>
      <c r="C65" s="85" t="str">
        <f>VLOOKUP(A65,ADM!$A$1:$N$343,14,0)</f>
        <v>CC Grand Orb en Languedoc</v>
      </c>
      <c r="F65" t="s">
        <v>113</v>
      </c>
      <c r="H65">
        <v>7</v>
      </c>
      <c r="I65" t="s">
        <v>114</v>
      </c>
      <c r="J65" t="s">
        <v>114</v>
      </c>
      <c r="K65" t="s">
        <v>114</v>
      </c>
      <c r="L65" t="s">
        <v>114</v>
      </c>
      <c r="M65">
        <v>0</v>
      </c>
      <c r="N65">
        <v>1</v>
      </c>
      <c r="O65">
        <v>1</v>
      </c>
      <c r="P65">
        <v>0</v>
      </c>
      <c r="Q65">
        <v>0</v>
      </c>
      <c r="R65">
        <v>2</v>
      </c>
      <c r="S65">
        <v>2</v>
      </c>
      <c r="T65">
        <v>3</v>
      </c>
      <c r="U65">
        <v>0</v>
      </c>
      <c r="V65">
        <v>0</v>
      </c>
      <c r="W65">
        <v>0</v>
      </c>
      <c r="X65" s="1">
        <v>0.04</v>
      </c>
      <c r="Y65">
        <v>0</v>
      </c>
      <c r="Z65">
        <v>0</v>
      </c>
      <c r="AA65">
        <v>2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3</v>
      </c>
      <c r="AQ65" t="s">
        <v>145</v>
      </c>
      <c r="AR65" t="s">
        <v>145</v>
      </c>
      <c r="AS65">
        <v>4</v>
      </c>
    </row>
    <row r="66" spans="1:45" x14ac:dyDescent="0.25">
      <c r="A66">
        <v>34020</v>
      </c>
      <c r="B66" t="s">
        <v>210</v>
      </c>
      <c r="C66" s="85" t="str">
        <f>VLOOKUP(A66,ADM!$A$1:$N$343,14,0)</f>
        <v>CC Du Minervois au Caroux en Haut-Languedoc</v>
      </c>
      <c r="F66" t="s">
        <v>113</v>
      </c>
      <c r="H66">
        <v>0</v>
      </c>
      <c r="I66" t="s">
        <v>114</v>
      </c>
      <c r="J66" t="s">
        <v>114</v>
      </c>
      <c r="K66" t="s">
        <v>114</v>
      </c>
      <c r="L66" t="s">
        <v>114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1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3</v>
      </c>
      <c r="AQ66" t="s">
        <v>145</v>
      </c>
      <c r="AR66" t="s">
        <v>145</v>
      </c>
      <c r="AS66">
        <v>3</v>
      </c>
    </row>
    <row r="67" spans="1:45" x14ac:dyDescent="0.25">
      <c r="A67">
        <v>34021</v>
      </c>
      <c r="B67" t="s">
        <v>212</v>
      </c>
      <c r="C67" s="85" t="str">
        <f>VLOOKUP(A67,ADM!$A$1:$N$343,14,0)</f>
        <v>CC Sud-Hérault</v>
      </c>
      <c r="F67" t="s">
        <v>113</v>
      </c>
      <c r="H67">
        <v>0</v>
      </c>
      <c r="I67" t="s">
        <v>114</v>
      </c>
      <c r="J67" t="s">
        <v>114</v>
      </c>
      <c r="K67" t="s">
        <v>114</v>
      </c>
      <c r="L67" t="s">
        <v>114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 s="1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3</v>
      </c>
      <c r="AQ67" t="s">
        <v>145</v>
      </c>
      <c r="AR67" t="s">
        <v>145</v>
      </c>
      <c r="AS67">
        <v>4</v>
      </c>
    </row>
    <row r="68" spans="1:45" x14ac:dyDescent="0.25">
      <c r="A68">
        <v>34024</v>
      </c>
      <c r="B68" t="s">
        <v>235</v>
      </c>
      <c r="C68" s="85" t="str">
        <f>VLOOKUP(A68,ADM!$A$1:$N$343,14,0)</f>
        <v>Sète Agglopôle Méditerranée</v>
      </c>
      <c r="F68" t="s">
        <v>113</v>
      </c>
      <c r="H68">
        <v>76</v>
      </c>
      <c r="I68" t="s">
        <v>114</v>
      </c>
      <c r="J68">
        <v>22</v>
      </c>
      <c r="K68">
        <v>4.75</v>
      </c>
      <c r="L68" t="s">
        <v>114</v>
      </c>
      <c r="M68">
        <v>4</v>
      </c>
      <c r="N68">
        <v>22</v>
      </c>
      <c r="O68">
        <v>19</v>
      </c>
      <c r="P68">
        <v>13</v>
      </c>
      <c r="Q68">
        <v>0</v>
      </c>
      <c r="R68">
        <v>28</v>
      </c>
      <c r="S68">
        <v>36</v>
      </c>
      <c r="T68">
        <v>12</v>
      </c>
      <c r="U68">
        <v>0</v>
      </c>
      <c r="V68">
        <v>0</v>
      </c>
      <c r="W68">
        <v>6.8493000000000004</v>
      </c>
      <c r="X68" s="1">
        <v>7.0000000000000007E-2</v>
      </c>
      <c r="Y68">
        <v>76</v>
      </c>
      <c r="Z68">
        <v>3</v>
      </c>
      <c r="AA68">
        <v>66</v>
      </c>
      <c r="AB68">
        <v>5</v>
      </c>
      <c r="AC68">
        <v>0</v>
      </c>
      <c r="AD68">
        <v>3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6</v>
      </c>
      <c r="AO68">
        <v>0</v>
      </c>
      <c r="AP68">
        <v>3</v>
      </c>
      <c r="AQ68" t="s">
        <v>237</v>
      </c>
      <c r="AR68" t="s">
        <v>238</v>
      </c>
      <c r="AS68">
        <v>1</v>
      </c>
    </row>
    <row r="69" spans="1:45" x14ac:dyDescent="0.25">
      <c r="A69">
        <v>34025</v>
      </c>
      <c r="B69" t="s">
        <v>239</v>
      </c>
      <c r="C69" s="85" t="str">
        <f>VLOOKUP(A69,ADM!$A$1:$N$343,14,0)</f>
        <v>CA de Béziers-Méditerranée</v>
      </c>
      <c r="F69" t="s">
        <v>113</v>
      </c>
      <c r="H69">
        <v>19</v>
      </c>
      <c r="I69" t="s">
        <v>114</v>
      </c>
      <c r="J69" t="s">
        <v>114</v>
      </c>
      <c r="K69" t="s">
        <v>114</v>
      </c>
      <c r="L69">
        <v>6</v>
      </c>
      <c r="M69">
        <v>1</v>
      </c>
      <c r="N69">
        <v>2</v>
      </c>
      <c r="O69">
        <v>6</v>
      </c>
      <c r="P69">
        <v>6</v>
      </c>
      <c r="Q69">
        <v>0</v>
      </c>
      <c r="R69">
        <v>3</v>
      </c>
      <c r="S69">
        <v>14</v>
      </c>
      <c r="T69">
        <v>2</v>
      </c>
      <c r="U69">
        <v>0</v>
      </c>
      <c r="V69">
        <v>5.2632000000000003</v>
      </c>
      <c r="W69">
        <v>5.2632000000000003</v>
      </c>
      <c r="X69" s="1">
        <v>0.02</v>
      </c>
      <c r="Y69">
        <v>9</v>
      </c>
      <c r="Z69">
        <v>1</v>
      </c>
      <c r="AA69">
        <v>17</v>
      </c>
      <c r="AB69">
        <v>1</v>
      </c>
      <c r="AC69">
        <v>0</v>
      </c>
      <c r="AD69">
        <v>4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10</v>
      </c>
      <c r="AO69">
        <v>6</v>
      </c>
      <c r="AP69">
        <v>3</v>
      </c>
      <c r="AQ69" t="s">
        <v>244</v>
      </c>
      <c r="AR69" t="s">
        <v>245</v>
      </c>
      <c r="AS69">
        <v>2</v>
      </c>
    </row>
    <row r="70" spans="1:45" x14ac:dyDescent="0.25">
      <c r="A70">
        <v>34026</v>
      </c>
      <c r="B70" t="s">
        <v>246</v>
      </c>
      <c r="C70" s="85" t="str">
        <f>VLOOKUP(A70,ADM!$A$1:$N$343,14,0)</f>
        <v>CC Du Minervois au Caroux en Haut-Languedoc</v>
      </c>
      <c r="F70" t="s">
        <v>113</v>
      </c>
      <c r="H70">
        <v>0</v>
      </c>
      <c r="I70" t="s">
        <v>114</v>
      </c>
      <c r="J70" t="s">
        <v>114</v>
      </c>
      <c r="K70" t="s">
        <v>114</v>
      </c>
      <c r="L70" t="s">
        <v>114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 s="1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3</v>
      </c>
      <c r="AQ70" t="s">
        <v>145</v>
      </c>
      <c r="AR70" t="s">
        <v>145</v>
      </c>
      <c r="AS70">
        <v>3</v>
      </c>
    </row>
    <row r="71" spans="1:45" x14ac:dyDescent="0.25">
      <c r="A71">
        <v>34027</v>
      </c>
      <c r="B71" t="s">
        <v>249</v>
      </c>
      <c r="C71" s="85" t="str">
        <f>VLOOKUP(A71,ADM!$A$1:$N$343,14,0)</f>
        <v>Montpellier Méditerranée Métropole</v>
      </c>
      <c r="F71" t="s">
        <v>113</v>
      </c>
      <c r="H71">
        <v>60</v>
      </c>
      <c r="I71" t="s">
        <v>114</v>
      </c>
      <c r="J71">
        <v>11</v>
      </c>
      <c r="K71">
        <v>2.2000000000000002</v>
      </c>
      <c r="L71">
        <v>5</v>
      </c>
      <c r="M71">
        <v>3</v>
      </c>
      <c r="N71">
        <v>11</v>
      </c>
      <c r="O71">
        <v>11</v>
      </c>
      <c r="P71">
        <v>5</v>
      </c>
      <c r="Q71">
        <v>0</v>
      </c>
      <c r="R71">
        <v>27</v>
      </c>
      <c r="S71">
        <v>30</v>
      </c>
      <c r="T71">
        <v>3</v>
      </c>
      <c r="U71">
        <v>0</v>
      </c>
      <c r="V71">
        <v>0</v>
      </c>
      <c r="W71">
        <v>12.069000000000001</v>
      </c>
      <c r="X71" s="1">
        <v>7.0000000000000007E-2</v>
      </c>
      <c r="Y71">
        <v>19</v>
      </c>
      <c r="Z71">
        <v>6</v>
      </c>
      <c r="AA71">
        <v>37</v>
      </c>
      <c r="AB71">
        <v>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3</v>
      </c>
      <c r="AQ71" t="s">
        <v>251</v>
      </c>
      <c r="AR71" t="s">
        <v>252</v>
      </c>
      <c r="AS71">
        <v>2</v>
      </c>
    </row>
    <row r="72" spans="1:45" x14ac:dyDescent="0.25">
      <c r="A72">
        <v>34028</v>
      </c>
      <c r="B72" t="s">
        <v>162</v>
      </c>
      <c r="C72" s="85" t="str">
        <f>VLOOKUP(A72,ADM!$A$1:$N$343,14,0)</f>
        <v>CC Grand Orb en Languedoc</v>
      </c>
      <c r="F72" t="s">
        <v>113</v>
      </c>
      <c r="H72">
        <v>159</v>
      </c>
      <c r="I72" t="s">
        <v>114</v>
      </c>
      <c r="J72">
        <v>13.33333333</v>
      </c>
      <c r="K72">
        <v>8.5</v>
      </c>
      <c r="L72">
        <v>1.1428571430000001</v>
      </c>
      <c r="M72">
        <v>11</v>
      </c>
      <c r="N72">
        <v>40</v>
      </c>
      <c r="O72">
        <v>17</v>
      </c>
      <c r="P72">
        <v>8</v>
      </c>
      <c r="Q72">
        <v>10</v>
      </c>
      <c r="R72">
        <v>20</v>
      </c>
      <c r="S72">
        <v>58</v>
      </c>
      <c r="T72">
        <v>67</v>
      </c>
      <c r="U72">
        <v>4</v>
      </c>
      <c r="V72">
        <v>0.63690000000000002</v>
      </c>
      <c r="W72">
        <v>9.5541</v>
      </c>
      <c r="X72" s="1">
        <v>0.05</v>
      </c>
      <c r="Y72">
        <v>74</v>
      </c>
      <c r="Z72">
        <v>14</v>
      </c>
      <c r="AA72">
        <v>78</v>
      </c>
      <c r="AB72">
        <v>12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3</v>
      </c>
      <c r="AQ72" t="s">
        <v>252</v>
      </c>
      <c r="AR72" t="s">
        <v>254</v>
      </c>
      <c r="AS72">
        <v>3</v>
      </c>
    </row>
    <row r="73" spans="1:45" x14ac:dyDescent="0.25">
      <c r="A73">
        <v>34029</v>
      </c>
      <c r="B73" t="s">
        <v>255</v>
      </c>
      <c r="C73" s="85" t="str">
        <f>VLOOKUP(A73,ADM!$A$1:$N$343,14,0)</f>
        <v>CC Vallée de l'hérault</v>
      </c>
      <c r="F73" t="s">
        <v>113</v>
      </c>
      <c r="H73">
        <v>10</v>
      </c>
      <c r="I73" t="s">
        <v>114</v>
      </c>
      <c r="J73" t="s">
        <v>114</v>
      </c>
      <c r="K73" t="s">
        <v>114</v>
      </c>
      <c r="L73" t="s">
        <v>114</v>
      </c>
      <c r="M73">
        <v>0</v>
      </c>
      <c r="N73">
        <v>1</v>
      </c>
      <c r="O73">
        <v>3</v>
      </c>
      <c r="P73">
        <v>0</v>
      </c>
      <c r="Q73">
        <v>0</v>
      </c>
      <c r="R73">
        <v>2</v>
      </c>
      <c r="S73">
        <v>3</v>
      </c>
      <c r="T73">
        <v>5</v>
      </c>
      <c r="U73">
        <v>0</v>
      </c>
      <c r="V73">
        <v>0</v>
      </c>
      <c r="W73">
        <v>0</v>
      </c>
      <c r="X73" s="1">
        <v>0.04</v>
      </c>
      <c r="Y73">
        <v>6</v>
      </c>
      <c r="Z73">
        <v>0</v>
      </c>
      <c r="AA73">
        <v>4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3</v>
      </c>
      <c r="AQ73" t="s">
        <v>145</v>
      </c>
      <c r="AR73" t="s">
        <v>145</v>
      </c>
      <c r="AS73">
        <v>3</v>
      </c>
    </row>
    <row r="74" spans="1:45" x14ac:dyDescent="0.25">
      <c r="A74">
        <v>34030</v>
      </c>
      <c r="B74" t="s">
        <v>257</v>
      </c>
      <c r="C74" s="85" t="str">
        <f>VLOOKUP(A74,ADM!$A$1:$N$343,14,0)</f>
        <v>CC Du Minervois au Caroux en Haut-Languedoc</v>
      </c>
      <c r="F74" t="s">
        <v>113</v>
      </c>
      <c r="H74">
        <v>0</v>
      </c>
      <c r="I74" t="s">
        <v>114</v>
      </c>
      <c r="J74" t="s">
        <v>114</v>
      </c>
      <c r="K74" t="s">
        <v>114</v>
      </c>
      <c r="L74" t="s">
        <v>114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1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3</v>
      </c>
      <c r="AQ74" t="s">
        <v>145</v>
      </c>
      <c r="AR74" t="s">
        <v>145</v>
      </c>
      <c r="AS74">
        <v>4</v>
      </c>
    </row>
    <row r="75" spans="1:45" x14ac:dyDescent="0.25">
      <c r="A75">
        <v>34033</v>
      </c>
      <c r="B75" t="s">
        <v>272</v>
      </c>
      <c r="C75" s="85" t="str">
        <f>VLOOKUP(A75,ADM!$A$1:$N$343,14,0)</f>
        <v>CC du Pays de Lunel</v>
      </c>
      <c r="F75" t="s">
        <v>113</v>
      </c>
      <c r="H75">
        <v>2</v>
      </c>
      <c r="I75" t="s">
        <v>114</v>
      </c>
      <c r="J75" t="s">
        <v>114</v>
      </c>
      <c r="K75" t="s">
        <v>114</v>
      </c>
      <c r="L75" t="s">
        <v>114</v>
      </c>
      <c r="M75">
        <v>0</v>
      </c>
      <c r="N75">
        <v>3</v>
      </c>
      <c r="O75">
        <v>2</v>
      </c>
      <c r="P75">
        <v>1</v>
      </c>
      <c r="Q75">
        <v>0</v>
      </c>
      <c r="R75">
        <v>1</v>
      </c>
      <c r="S75">
        <v>0</v>
      </c>
      <c r="T75">
        <v>1</v>
      </c>
      <c r="U75">
        <v>0</v>
      </c>
      <c r="V75">
        <v>0</v>
      </c>
      <c r="W75">
        <v>0</v>
      </c>
      <c r="X75" s="1">
        <v>0</v>
      </c>
      <c r="Y75">
        <v>5</v>
      </c>
      <c r="Z75">
        <v>1</v>
      </c>
      <c r="AA75">
        <v>6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3</v>
      </c>
      <c r="AQ75" t="s">
        <v>168</v>
      </c>
      <c r="AR75" t="s">
        <v>145</v>
      </c>
      <c r="AS75">
        <v>3</v>
      </c>
    </row>
    <row r="76" spans="1:45" x14ac:dyDescent="0.25">
      <c r="A76">
        <v>34034</v>
      </c>
      <c r="B76" t="s">
        <v>278</v>
      </c>
      <c r="C76" s="85" t="str">
        <f>VLOOKUP(A76,ADM!$A$1:$N$343,14,0)</f>
        <v>CC Du Minervois au Caroux en Haut-Languedoc</v>
      </c>
      <c r="F76" t="s">
        <v>113</v>
      </c>
      <c r="H76">
        <v>0</v>
      </c>
      <c r="I76" t="s">
        <v>114</v>
      </c>
      <c r="J76" t="s">
        <v>114</v>
      </c>
      <c r="K76" t="s">
        <v>114</v>
      </c>
      <c r="L76" t="s">
        <v>114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 s="1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3</v>
      </c>
      <c r="AQ76" t="s">
        <v>145</v>
      </c>
      <c r="AR76" t="s">
        <v>145</v>
      </c>
      <c r="AS76">
        <v>4</v>
      </c>
    </row>
    <row r="77" spans="1:45" x14ac:dyDescent="0.25">
      <c r="A77">
        <v>34035</v>
      </c>
      <c r="B77" t="s">
        <v>280</v>
      </c>
      <c r="C77" s="85" t="str">
        <f>VLOOKUP(A77,ADM!$A$1:$N$343,14,0)</f>
        <v>CC Vallée de l'hérault</v>
      </c>
      <c r="F77" t="s">
        <v>113</v>
      </c>
      <c r="H77">
        <v>0</v>
      </c>
      <c r="I77" t="s">
        <v>114</v>
      </c>
      <c r="J77" t="s">
        <v>114</v>
      </c>
      <c r="K77" t="s">
        <v>114</v>
      </c>
      <c r="L77" t="s">
        <v>114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 s="1">
        <v>0</v>
      </c>
      <c r="Y77">
        <v>0</v>
      </c>
      <c r="Z77">
        <v>0</v>
      </c>
      <c r="AA77">
        <v>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3</v>
      </c>
      <c r="AQ77" t="s">
        <v>145</v>
      </c>
      <c r="AR77" t="s">
        <v>145</v>
      </c>
      <c r="AS77">
        <v>2</v>
      </c>
    </row>
    <row r="78" spans="1:45" x14ac:dyDescent="0.25">
      <c r="A78">
        <v>34036</v>
      </c>
      <c r="B78" t="s">
        <v>282</v>
      </c>
      <c r="C78" s="85" t="str">
        <f>VLOOKUP(A78,ADM!$A$1:$N$343,14,0)</f>
        <v>CC Lodévois et Larzac</v>
      </c>
      <c r="F78" t="s">
        <v>113</v>
      </c>
      <c r="H78">
        <v>0</v>
      </c>
      <c r="I78" t="s">
        <v>114</v>
      </c>
      <c r="J78" t="s">
        <v>114</v>
      </c>
      <c r="K78" t="s">
        <v>114</v>
      </c>
      <c r="L78" t="s">
        <v>114</v>
      </c>
      <c r="M78">
        <v>0</v>
      </c>
      <c r="N78">
        <v>1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 s="1">
        <v>0</v>
      </c>
      <c r="Y78">
        <v>1</v>
      </c>
      <c r="Z78">
        <v>0</v>
      </c>
      <c r="AA78">
        <v>2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3</v>
      </c>
      <c r="AQ78" t="s">
        <v>145</v>
      </c>
      <c r="AR78" t="s">
        <v>145</v>
      </c>
      <c r="AS78">
        <v>3</v>
      </c>
    </row>
    <row r="79" spans="1:45" x14ac:dyDescent="0.25">
      <c r="A79">
        <v>34037</v>
      </c>
      <c r="B79" t="s">
        <v>285</v>
      </c>
      <c r="C79" s="85" t="str">
        <f>VLOOKUP(A79,ADM!$A$1:$N$343,14,0)</f>
        <v>CA de Béziers-Méditerranée</v>
      </c>
      <c r="F79" t="s">
        <v>113</v>
      </c>
      <c r="H79">
        <v>110</v>
      </c>
      <c r="I79" t="s">
        <v>114</v>
      </c>
      <c r="J79" t="s">
        <v>114</v>
      </c>
      <c r="K79">
        <v>11.25</v>
      </c>
      <c r="L79">
        <v>8</v>
      </c>
      <c r="M79">
        <v>6</v>
      </c>
      <c r="N79">
        <v>20</v>
      </c>
      <c r="O79">
        <v>45</v>
      </c>
      <c r="P79">
        <v>24</v>
      </c>
      <c r="Q79">
        <v>0</v>
      </c>
      <c r="R79">
        <v>8</v>
      </c>
      <c r="S79">
        <v>56</v>
      </c>
      <c r="T79">
        <v>42</v>
      </c>
      <c r="U79">
        <v>4</v>
      </c>
      <c r="V79">
        <v>0</v>
      </c>
      <c r="W79">
        <v>6.3635999999999999</v>
      </c>
      <c r="X79" s="1">
        <v>7.0000000000000007E-2</v>
      </c>
      <c r="Y79">
        <v>123</v>
      </c>
      <c r="Z79">
        <v>28</v>
      </c>
      <c r="AA79">
        <v>104</v>
      </c>
      <c r="AB79">
        <v>7</v>
      </c>
      <c r="AC79">
        <v>0</v>
      </c>
      <c r="AD79">
        <v>11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3</v>
      </c>
      <c r="AM79">
        <v>0</v>
      </c>
      <c r="AN79">
        <v>14</v>
      </c>
      <c r="AO79">
        <v>0</v>
      </c>
      <c r="AP79">
        <v>3</v>
      </c>
      <c r="AQ79" t="s">
        <v>287</v>
      </c>
      <c r="AR79" t="s">
        <v>288</v>
      </c>
      <c r="AS79">
        <v>1</v>
      </c>
    </row>
    <row r="80" spans="1:45" x14ac:dyDescent="0.25">
      <c r="A80">
        <v>34038</v>
      </c>
      <c r="B80" t="s">
        <v>289</v>
      </c>
      <c r="C80" s="85" t="str">
        <f>VLOOKUP(A80,ADM!$A$1:$N$343,14,0)</f>
        <v>CC Grand Orb en Languedoc</v>
      </c>
      <c r="F80" t="s">
        <v>113</v>
      </c>
      <c r="H80">
        <v>158</v>
      </c>
      <c r="I80">
        <v>2</v>
      </c>
      <c r="J80" t="s">
        <v>114</v>
      </c>
      <c r="K80">
        <v>1.3333333329999999</v>
      </c>
      <c r="L80">
        <v>1.8</v>
      </c>
      <c r="M80">
        <v>2</v>
      </c>
      <c r="N80">
        <v>7</v>
      </c>
      <c r="O80">
        <v>12</v>
      </c>
      <c r="P80">
        <v>9</v>
      </c>
      <c r="Q80">
        <v>2</v>
      </c>
      <c r="R80">
        <v>10</v>
      </c>
      <c r="S80">
        <v>69</v>
      </c>
      <c r="T80">
        <v>71</v>
      </c>
      <c r="U80">
        <v>6</v>
      </c>
      <c r="V80">
        <v>5.5556000000000001</v>
      </c>
      <c r="W80">
        <v>11.8056</v>
      </c>
      <c r="X80" s="1">
        <v>0.2</v>
      </c>
      <c r="Y80">
        <v>21</v>
      </c>
      <c r="Z80">
        <v>24</v>
      </c>
      <c r="AA80">
        <v>30</v>
      </c>
      <c r="AB80">
        <v>15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3</v>
      </c>
      <c r="AQ80" t="s">
        <v>291</v>
      </c>
      <c r="AR80" t="s">
        <v>292</v>
      </c>
      <c r="AS80">
        <v>4</v>
      </c>
    </row>
    <row r="81" spans="1:45" x14ac:dyDescent="0.25">
      <c r="A81">
        <v>34039</v>
      </c>
      <c r="B81" t="s">
        <v>293</v>
      </c>
      <c r="C81" s="85" t="str">
        <f>VLOOKUP(A81,ADM!$A$1:$N$343,14,0)</f>
        <v>Sète Agglopôle Méditerranée</v>
      </c>
      <c r="F81" t="s">
        <v>113</v>
      </c>
      <c r="H81">
        <v>0</v>
      </c>
      <c r="I81" t="s">
        <v>114</v>
      </c>
      <c r="J81" t="s">
        <v>114</v>
      </c>
      <c r="K81" t="s">
        <v>114</v>
      </c>
      <c r="L81" t="s">
        <v>114</v>
      </c>
      <c r="M81">
        <v>1</v>
      </c>
      <c r="N81">
        <v>2</v>
      </c>
      <c r="O81">
        <v>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 s="1">
        <v>0</v>
      </c>
      <c r="Y81">
        <v>4</v>
      </c>
      <c r="Z81">
        <v>0</v>
      </c>
      <c r="AA81">
        <v>6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3</v>
      </c>
      <c r="AQ81" t="s">
        <v>145</v>
      </c>
      <c r="AR81" t="s">
        <v>145</v>
      </c>
      <c r="AS81">
        <v>1</v>
      </c>
    </row>
    <row r="82" spans="1:45" x14ac:dyDescent="0.25">
      <c r="A82">
        <v>34040</v>
      </c>
      <c r="B82" t="s">
        <v>295</v>
      </c>
      <c r="C82" s="85" t="str">
        <f>VLOOKUP(A82,ADM!$A$1:$N$343,14,0)</f>
        <v>CC Grand Orb en Languedoc</v>
      </c>
      <c r="F82" t="s">
        <v>113</v>
      </c>
      <c r="H82">
        <v>0</v>
      </c>
      <c r="I82" t="s">
        <v>114</v>
      </c>
      <c r="J82" t="s">
        <v>114</v>
      </c>
      <c r="K82" t="s">
        <v>114</v>
      </c>
      <c r="L82" t="s">
        <v>114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 s="1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3</v>
      </c>
      <c r="AQ82" t="s">
        <v>145</v>
      </c>
      <c r="AR82" t="s">
        <v>145</v>
      </c>
      <c r="AS82">
        <v>4</v>
      </c>
    </row>
    <row r="83" spans="1:45" x14ac:dyDescent="0.25">
      <c r="A83">
        <v>34041</v>
      </c>
      <c r="B83" t="s">
        <v>297</v>
      </c>
      <c r="C83" s="85" t="str">
        <f>VLOOKUP(A83,ADM!$A$1:$N$343,14,0)</f>
        <v>CC du Clermontais</v>
      </c>
      <c r="F83" t="s">
        <v>113</v>
      </c>
      <c r="H83">
        <v>6</v>
      </c>
      <c r="I83" t="s">
        <v>114</v>
      </c>
      <c r="J83" t="s">
        <v>114</v>
      </c>
      <c r="K83">
        <v>1</v>
      </c>
      <c r="L83">
        <v>0</v>
      </c>
      <c r="M83">
        <v>0</v>
      </c>
      <c r="N83">
        <v>0</v>
      </c>
      <c r="O83">
        <v>2</v>
      </c>
      <c r="P83">
        <v>0</v>
      </c>
      <c r="Q83">
        <v>0</v>
      </c>
      <c r="R83">
        <v>0</v>
      </c>
      <c r="S83">
        <v>4</v>
      </c>
      <c r="T83">
        <v>2</v>
      </c>
      <c r="U83">
        <v>0</v>
      </c>
      <c r="V83">
        <v>0</v>
      </c>
      <c r="W83">
        <v>50</v>
      </c>
      <c r="X83" s="1">
        <v>0.02</v>
      </c>
      <c r="Y83">
        <v>5</v>
      </c>
      <c r="Z83">
        <v>1</v>
      </c>
      <c r="AA83">
        <v>3</v>
      </c>
      <c r="AB83">
        <v>3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3</v>
      </c>
      <c r="AQ83" t="s">
        <v>168</v>
      </c>
      <c r="AR83" t="s">
        <v>299</v>
      </c>
      <c r="AS83">
        <v>2</v>
      </c>
    </row>
    <row r="84" spans="1:45" x14ac:dyDescent="0.25">
      <c r="A84">
        <v>34042</v>
      </c>
      <c r="B84" t="s">
        <v>300</v>
      </c>
      <c r="C84" s="85" t="str">
        <f>VLOOKUP(A84,ADM!$A$1:$N$343,14,0)</f>
        <v>CC des Cévennes Gangeoises et Suménoises</v>
      </c>
      <c r="F84" t="s">
        <v>113</v>
      </c>
      <c r="H84">
        <v>0</v>
      </c>
      <c r="I84" t="s">
        <v>114</v>
      </c>
      <c r="J84" t="s">
        <v>114</v>
      </c>
      <c r="K84" t="s">
        <v>114</v>
      </c>
      <c r="L84" t="s">
        <v>114</v>
      </c>
      <c r="M84">
        <v>1</v>
      </c>
      <c r="N84">
        <v>0</v>
      </c>
      <c r="O84">
        <v>1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 s="1">
        <v>0</v>
      </c>
      <c r="Y84">
        <v>1</v>
      </c>
      <c r="Z84">
        <v>0</v>
      </c>
      <c r="AA84">
        <v>2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3</v>
      </c>
      <c r="AQ84" t="s">
        <v>145</v>
      </c>
      <c r="AR84" t="s">
        <v>145</v>
      </c>
      <c r="AS84">
        <v>3</v>
      </c>
    </row>
    <row r="85" spans="1:45" x14ac:dyDescent="0.25">
      <c r="A85">
        <v>34043</v>
      </c>
      <c r="B85" t="s">
        <v>302</v>
      </c>
      <c r="C85" s="85" t="str">
        <f>VLOOKUP(A85,ADM!$A$1:$N$343,14,0)</f>
        <v>CC du Grand Pic Saint-Loup</v>
      </c>
      <c r="F85" t="s">
        <v>113</v>
      </c>
      <c r="H85">
        <v>5</v>
      </c>
      <c r="I85" t="s">
        <v>114</v>
      </c>
      <c r="J85" t="s">
        <v>114</v>
      </c>
      <c r="K85" t="s">
        <v>114</v>
      </c>
      <c r="L85" t="s">
        <v>114</v>
      </c>
      <c r="M85">
        <v>0</v>
      </c>
      <c r="N85">
        <v>1</v>
      </c>
      <c r="O85">
        <v>0</v>
      </c>
      <c r="P85">
        <v>0</v>
      </c>
      <c r="Q85">
        <v>0</v>
      </c>
      <c r="R85">
        <v>3</v>
      </c>
      <c r="S85">
        <v>1</v>
      </c>
      <c r="T85">
        <v>1</v>
      </c>
      <c r="U85">
        <v>0</v>
      </c>
      <c r="V85">
        <v>0</v>
      </c>
      <c r="W85">
        <v>0</v>
      </c>
      <c r="X85" s="1">
        <v>0.03</v>
      </c>
      <c r="Y85">
        <v>5</v>
      </c>
      <c r="Z85">
        <v>2</v>
      </c>
      <c r="AA85">
        <v>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3</v>
      </c>
      <c r="AQ85" t="s">
        <v>304</v>
      </c>
      <c r="AR85" t="s">
        <v>145</v>
      </c>
      <c r="AS85">
        <v>3</v>
      </c>
    </row>
    <row r="86" spans="1:45" x14ac:dyDescent="0.25">
      <c r="A86">
        <v>34044</v>
      </c>
      <c r="B86" t="s">
        <v>305</v>
      </c>
      <c r="C86" s="85" t="str">
        <f>VLOOKUP(A86,ADM!$A$1:$N$343,14,0)</f>
        <v>CC les Avant-Monts</v>
      </c>
      <c r="F86" t="s">
        <v>113</v>
      </c>
      <c r="H86">
        <v>0</v>
      </c>
      <c r="I86" t="s">
        <v>114</v>
      </c>
      <c r="J86" t="s">
        <v>114</v>
      </c>
      <c r="K86" t="s">
        <v>114</v>
      </c>
      <c r="L86" t="s">
        <v>114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 s="1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3</v>
      </c>
      <c r="AQ86" t="s">
        <v>145</v>
      </c>
      <c r="AR86" t="s">
        <v>145</v>
      </c>
      <c r="AS86">
        <v>4</v>
      </c>
    </row>
    <row r="87" spans="1:45" x14ac:dyDescent="0.25">
      <c r="A87">
        <v>34045</v>
      </c>
      <c r="B87" t="s">
        <v>307</v>
      </c>
      <c r="C87" s="85" t="str">
        <f>VLOOKUP(A87,ADM!$A$1:$N$343,14,0)</f>
        <v>CC du Clermontais</v>
      </c>
      <c r="F87" t="s">
        <v>113</v>
      </c>
      <c r="H87">
        <v>13</v>
      </c>
      <c r="I87" t="s">
        <v>114</v>
      </c>
      <c r="J87" t="s">
        <v>114</v>
      </c>
      <c r="K87" t="s">
        <v>114</v>
      </c>
      <c r="L87" t="s">
        <v>114</v>
      </c>
      <c r="Q87">
        <v>0</v>
      </c>
      <c r="R87">
        <v>3</v>
      </c>
      <c r="S87">
        <v>3</v>
      </c>
      <c r="T87">
        <v>7</v>
      </c>
      <c r="U87">
        <v>0</v>
      </c>
      <c r="V87">
        <v>0</v>
      </c>
      <c r="W87">
        <v>0</v>
      </c>
      <c r="X87" s="1">
        <v>0.05</v>
      </c>
      <c r="Y87">
        <v>2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3</v>
      </c>
      <c r="AQ87" t="s">
        <v>145</v>
      </c>
      <c r="AR87" t="s">
        <v>145</v>
      </c>
      <c r="AS87">
        <v>3</v>
      </c>
    </row>
    <row r="88" spans="1:45" x14ac:dyDescent="0.25">
      <c r="A88">
        <v>34046</v>
      </c>
      <c r="B88" t="s">
        <v>309</v>
      </c>
      <c r="C88" s="85" t="str">
        <f>VLOOKUP(A88,ADM!$A$1:$N$343,14,0)</f>
        <v>CC des Monts de Lacaune et de la Montagne du Haut Languedoc</v>
      </c>
      <c r="F88" t="s">
        <v>113</v>
      </c>
      <c r="H88">
        <v>0</v>
      </c>
      <c r="I88" t="s">
        <v>114</v>
      </c>
      <c r="J88" t="s">
        <v>114</v>
      </c>
      <c r="K88" t="s">
        <v>114</v>
      </c>
      <c r="L88" t="s">
        <v>114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 s="1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3</v>
      </c>
      <c r="AQ88" t="s">
        <v>145</v>
      </c>
      <c r="AR88" t="s">
        <v>145</v>
      </c>
      <c r="AS88">
        <v>4</v>
      </c>
    </row>
    <row r="89" spans="1:45" x14ac:dyDescent="0.25">
      <c r="A89">
        <v>34047</v>
      </c>
      <c r="B89" t="s">
        <v>312</v>
      </c>
      <c r="C89" s="85" t="str">
        <f>VLOOKUP(A89,ADM!$A$1:$N$343,14,0)</f>
        <v>CC Vallée de l'hérault</v>
      </c>
      <c r="F89" t="s">
        <v>113</v>
      </c>
      <c r="H89">
        <v>0</v>
      </c>
      <c r="I89" t="s">
        <v>114</v>
      </c>
      <c r="J89" t="s">
        <v>114</v>
      </c>
      <c r="K89" t="s">
        <v>114</v>
      </c>
      <c r="L89" t="s">
        <v>114</v>
      </c>
      <c r="M89">
        <v>0</v>
      </c>
      <c r="N89">
        <v>0</v>
      </c>
      <c r="O89">
        <v>0</v>
      </c>
      <c r="P89">
        <v>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s="1">
        <v>0</v>
      </c>
      <c r="Y89">
        <v>1</v>
      </c>
      <c r="Z89">
        <v>0</v>
      </c>
      <c r="AA89">
        <v>1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3</v>
      </c>
      <c r="AQ89" t="s">
        <v>145</v>
      </c>
      <c r="AR89" t="s">
        <v>145</v>
      </c>
      <c r="AS89">
        <v>3</v>
      </c>
    </row>
    <row r="90" spans="1:45" x14ac:dyDescent="0.25">
      <c r="A90">
        <v>34048</v>
      </c>
      <c r="B90" t="s">
        <v>314</v>
      </c>
      <c r="C90" s="85" t="str">
        <f>VLOOKUP(A90,ADM!$A$1:$N$343,14,0)</f>
        <v>CC du Pays de Lunel</v>
      </c>
      <c r="F90" t="s">
        <v>113</v>
      </c>
      <c r="H90">
        <v>0</v>
      </c>
      <c r="I90" t="s">
        <v>114</v>
      </c>
      <c r="J90" t="s">
        <v>114</v>
      </c>
      <c r="K90" t="s">
        <v>114</v>
      </c>
      <c r="L90" t="s">
        <v>114</v>
      </c>
      <c r="M90">
        <v>0</v>
      </c>
      <c r="N90">
        <v>0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 s="1">
        <v>0</v>
      </c>
      <c r="Y90">
        <v>0</v>
      </c>
      <c r="Z90">
        <v>0</v>
      </c>
      <c r="AA90">
        <v>1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3</v>
      </c>
      <c r="AQ90" t="s">
        <v>145</v>
      </c>
      <c r="AR90" t="s">
        <v>145</v>
      </c>
      <c r="AS90">
        <v>4</v>
      </c>
    </row>
    <row r="91" spans="1:45" x14ac:dyDescent="0.25">
      <c r="A91">
        <v>34049</v>
      </c>
      <c r="B91" t="s">
        <v>316</v>
      </c>
      <c r="C91" s="85" t="str">
        <f>VLOOKUP(A91,ADM!$A$1:$N$343,14,0)</f>
        <v>CC Grand Orb en Languedoc</v>
      </c>
      <c r="F91" t="s">
        <v>113</v>
      </c>
      <c r="H91">
        <v>0</v>
      </c>
      <c r="I91" t="s">
        <v>114</v>
      </c>
      <c r="J91" t="s">
        <v>114</v>
      </c>
      <c r="K91" t="s">
        <v>114</v>
      </c>
      <c r="L91" t="s">
        <v>114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 s="1">
        <v>0</v>
      </c>
      <c r="Y91">
        <v>1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3</v>
      </c>
      <c r="AQ91" t="s">
        <v>145</v>
      </c>
      <c r="AR91" t="s">
        <v>145</v>
      </c>
      <c r="AS91">
        <v>4</v>
      </c>
    </row>
    <row r="92" spans="1:45" x14ac:dyDescent="0.25">
      <c r="A92">
        <v>34050</v>
      </c>
      <c r="B92" t="s">
        <v>318</v>
      </c>
      <c r="C92" s="85" t="str">
        <f>VLOOKUP(A92,ADM!$A$1:$N$343,14,0)</f>
        <v>CA du Pays de l'Or</v>
      </c>
      <c r="F92" t="s">
        <v>113</v>
      </c>
      <c r="H92">
        <v>48</v>
      </c>
      <c r="I92">
        <v>7</v>
      </c>
      <c r="J92">
        <v>0.81818181800000001</v>
      </c>
      <c r="K92">
        <v>1.7272727269999999</v>
      </c>
      <c r="L92">
        <v>2.6666666669999999</v>
      </c>
      <c r="M92">
        <v>7</v>
      </c>
      <c r="N92">
        <v>9</v>
      </c>
      <c r="O92">
        <v>19</v>
      </c>
      <c r="P92">
        <v>8</v>
      </c>
      <c r="Q92">
        <v>1</v>
      </c>
      <c r="R92">
        <v>24</v>
      </c>
      <c r="S92">
        <v>16</v>
      </c>
      <c r="T92">
        <v>7</v>
      </c>
      <c r="U92">
        <v>0</v>
      </c>
      <c r="V92">
        <v>0</v>
      </c>
      <c r="W92">
        <v>8.6957000000000004</v>
      </c>
      <c r="X92" s="1">
        <v>7.0000000000000007E-2</v>
      </c>
      <c r="Y92">
        <v>51</v>
      </c>
      <c r="Z92">
        <v>2</v>
      </c>
      <c r="AA92">
        <v>44</v>
      </c>
      <c r="AB92">
        <v>26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1</v>
      </c>
      <c r="AM92">
        <v>0</v>
      </c>
      <c r="AN92">
        <v>0</v>
      </c>
      <c r="AO92">
        <v>0</v>
      </c>
      <c r="AP92">
        <v>3</v>
      </c>
      <c r="AQ92" t="s">
        <v>323</v>
      </c>
      <c r="AR92" t="s">
        <v>324</v>
      </c>
      <c r="AS92">
        <v>1</v>
      </c>
    </row>
    <row r="93" spans="1:45" x14ac:dyDescent="0.25">
      <c r="A93">
        <v>34051</v>
      </c>
      <c r="B93" t="s">
        <v>325</v>
      </c>
      <c r="C93" s="85" t="str">
        <f>VLOOKUP(A93,ADM!$A$1:$N$343,14,0)</f>
        <v>CC du Clermontais</v>
      </c>
      <c r="F93" t="s">
        <v>113</v>
      </c>
      <c r="H93">
        <v>25</v>
      </c>
      <c r="I93" t="s">
        <v>114</v>
      </c>
      <c r="J93" t="s">
        <v>114</v>
      </c>
      <c r="K93">
        <v>7.6666666670000003</v>
      </c>
      <c r="L93">
        <v>13</v>
      </c>
      <c r="M93">
        <v>2</v>
      </c>
      <c r="N93">
        <v>11</v>
      </c>
      <c r="O93">
        <v>23</v>
      </c>
      <c r="P93">
        <v>13</v>
      </c>
      <c r="Q93">
        <v>0</v>
      </c>
      <c r="R93">
        <v>0</v>
      </c>
      <c r="S93">
        <v>13</v>
      </c>
      <c r="T93">
        <v>12</v>
      </c>
      <c r="U93">
        <v>0</v>
      </c>
      <c r="V93">
        <v>0</v>
      </c>
      <c r="W93">
        <v>16</v>
      </c>
      <c r="X93" s="1">
        <v>0.02</v>
      </c>
      <c r="Y93">
        <v>39</v>
      </c>
      <c r="Z93">
        <v>1</v>
      </c>
      <c r="AA93">
        <v>57</v>
      </c>
      <c r="AB93">
        <v>4</v>
      </c>
      <c r="AC93">
        <v>0</v>
      </c>
      <c r="AD93">
        <v>8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16</v>
      </c>
      <c r="AO93">
        <v>8</v>
      </c>
      <c r="AP93">
        <v>3</v>
      </c>
      <c r="AQ93" t="s">
        <v>327</v>
      </c>
      <c r="AR93" t="s">
        <v>136</v>
      </c>
      <c r="AS93">
        <v>2</v>
      </c>
    </row>
    <row r="94" spans="1:45" x14ac:dyDescent="0.25">
      <c r="A94">
        <v>34052</v>
      </c>
      <c r="B94" t="s">
        <v>328</v>
      </c>
      <c r="C94" s="85" t="str">
        <f>VLOOKUP(A94,ADM!$A$1:$N$343,14,0)</f>
        <v>CC Sud-Hérault</v>
      </c>
      <c r="F94" t="s">
        <v>113</v>
      </c>
      <c r="H94">
        <v>26</v>
      </c>
      <c r="I94" t="s">
        <v>114</v>
      </c>
      <c r="J94" t="s">
        <v>114</v>
      </c>
      <c r="K94">
        <v>11</v>
      </c>
      <c r="L94" t="s">
        <v>114</v>
      </c>
      <c r="M94">
        <v>2</v>
      </c>
      <c r="N94">
        <v>9</v>
      </c>
      <c r="O94">
        <v>11</v>
      </c>
      <c r="P94">
        <v>4</v>
      </c>
      <c r="Q94">
        <v>0</v>
      </c>
      <c r="R94">
        <v>3</v>
      </c>
      <c r="S94">
        <v>12</v>
      </c>
      <c r="T94">
        <v>9</v>
      </c>
      <c r="U94">
        <v>2</v>
      </c>
      <c r="V94">
        <v>0</v>
      </c>
      <c r="W94">
        <v>8</v>
      </c>
      <c r="X94" s="1">
        <v>0.02</v>
      </c>
      <c r="Y94">
        <v>34</v>
      </c>
      <c r="Z94">
        <v>4</v>
      </c>
      <c r="AA94">
        <v>26</v>
      </c>
      <c r="AB94">
        <v>1</v>
      </c>
      <c r="AC94">
        <v>0</v>
      </c>
      <c r="AD94">
        <v>19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9</v>
      </c>
      <c r="AM94">
        <v>0</v>
      </c>
      <c r="AN94">
        <v>30</v>
      </c>
      <c r="AO94">
        <v>0</v>
      </c>
      <c r="AP94">
        <v>3</v>
      </c>
      <c r="AQ94" t="s">
        <v>330</v>
      </c>
      <c r="AR94" t="s">
        <v>331</v>
      </c>
      <c r="AS94">
        <v>3</v>
      </c>
    </row>
    <row r="95" spans="1:45" x14ac:dyDescent="0.25">
      <c r="A95">
        <v>34053</v>
      </c>
      <c r="B95" t="s">
        <v>332</v>
      </c>
      <c r="C95" s="85" t="str">
        <f>VLOOKUP(A95,ADM!$A$1:$N$343,14,0)</f>
        <v>CC Grand Orb en Languedoc</v>
      </c>
      <c r="F95" t="s">
        <v>113</v>
      </c>
      <c r="H95">
        <v>0</v>
      </c>
      <c r="I95" t="s">
        <v>114</v>
      </c>
      <c r="J95" t="s">
        <v>114</v>
      </c>
      <c r="K95" t="s">
        <v>114</v>
      </c>
      <c r="L95" t="s">
        <v>114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1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3</v>
      </c>
      <c r="AQ95" t="s">
        <v>145</v>
      </c>
      <c r="AR95" t="s">
        <v>145</v>
      </c>
      <c r="AS95">
        <v>4</v>
      </c>
    </row>
    <row r="96" spans="1:45" x14ac:dyDescent="0.25">
      <c r="A96">
        <v>34054</v>
      </c>
      <c r="B96" t="s">
        <v>334</v>
      </c>
      <c r="C96" s="85" t="str">
        <f>VLOOKUP(A96,ADM!$A$1:$N$343,14,0)</f>
        <v>CC Du Minervois au Caroux en Haut-Languedoc</v>
      </c>
      <c r="F96" t="s">
        <v>113</v>
      </c>
      <c r="H96">
        <v>0</v>
      </c>
      <c r="I96" t="s">
        <v>114</v>
      </c>
      <c r="J96" t="s">
        <v>114</v>
      </c>
      <c r="K96" t="s">
        <v>114</v>
      </c>
      <c r="L96" t="s">
        <v>114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s="1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3</v>
      </c>
      <c r="AQ96" t="s">
        <v>145</v>
      </c>
      <c r="AR96" t="s">
        <v>145</v>
      </c>
      <c r="AS96">
        <v>4</v>
      </c>
    </row>
    <row r="97" spans="1:45" x14ac:dyDescent="0.25">
      <c r="A97">
        <v>34055</v>
      </c>
      <c r="B97" t="s">
        <v>336</v>
      </c>
      <c r="C97" s="85" t="str">
        <f>VLOOKUP(A97,ADM!$A$1:$N$343,14,0)</f>
        <v>CC des Monts de Lacaune et de la Montagne du Haut Languedoc</v>
      </c>
      <c r="F97" t="s">
        <v>113</v>
      </c>
      <c r="H97">
        <v>6</v>
      </c>
      <c r="I97" t="s">
        <v>114</v>
      </c>
      <c r="J97" t="s">
        <v>114</v>
      </c>
      <c r="K97" t="s">
        <v>114</v>
      </c>
      <c r="L97" t="s">
        <v>114</v>
      </c>
      <c r="M97">
        <v>0</v>
      </c>
      <c r="N97">
        <v>0</v>
      </c>
      <c r="O97">
        <v>1</v>
      </c>
      <c r="P97">
        <v>0</v>
      </c>
      <c r="Q97">
        <v>0</v>
      </c>
      <c r="R97">
        <v>0</v>
      </c>
      <c r="S97">
        <v>2</v>
      </c>
      <c r="T97">
        <v>4</v>
      </c>
      <c r="U97">
        <v>0</v>
      </c>
      <c r="V97">
        <v>0</v>
      </c>
      <c r="W97">
        <v>0</v>
      </c>
      <c r="X97" s="1">
        <v>0.06</v>
      </c>
      <c r="Y97">
        <v>1</v>
      </c>
      <c r="Z97">
        <v>2</v>
      </c>
      <c r="AA97">
        <v>1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3</v>
      </c>
      <c r="AQ97" t="s">
        <v>338</v>
      </c>
      <c r="AR97" t="s">
        <v>145</v>
      </c>
      <c r="AS97">
        <v>4</v>
      </c>
    </row>
    <row r="98" spans="1:45" x14ac:dyDescent="0.25">
      <c r="A98">
        <v>34056</v>
      </c>
      <c r="B98" t="s">
        <v>339</v>
      </c>
      <c r="C98" s="85" t="str">
        <f>VLOOKUP(A98,ADM!$A$1:$N$343,14,0)</f>
        <v>CA Hérault-Méditerranée</v>
      </c>
      <c r="F98" t="s">
        <v>113</v>
      </c>
      <c r="H98">
        <v>16</v>
      </c>
      <c r="I98" t="s">
        <v>114</v>
      </c>
      <c r="J98" t="s">
        <v>114</v>
      </c>
      <c r="K98">
        <v>1</v>
      </c>
      <c r="L98">
        <v>0</v>
      </c>
      <c r="M98">
        <v>0</v>
      </c>
      <c r="N98">
        <v>2</v>
      </c>
      <c r="O98">
        <v>1</v>
      </c>
      <c r="P98">
        <v>0</v>
      </c>
      <c r="Q98">
        <v>0</v>
      </c>
      <c r="R98">
        <v>1</v>
      </c>
      <c r="S98">
        <v>6</v>
      </c>
      <c r="T98">
        <v>8</v>
      </c>
      <c r="U98">
        <v>1</v>
      </c>
      <c r="V98">
        <v>6.25</v>
      </c>
      <c r="W98">
        <v>12.5</v>
      </c>
      <c r="X98" s="1">
        <v>0.03</v>
      </c>
      <c r="Y98">
        <v>5</v>
      </c>
      <c r="Z98">
        <v>2</v>
      </c>
      <c r="AA98">
        <v>5</v>
      </c>
      <c r="AB98">
        <v>2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3</v>
      </c>
      <c r="AQ98" t="s">
        <v>304</v>
      </c>
      <c r="AR98" t="s">
        <v>304</v>
      </c>
      <c r="AS98">
        <v>3</v>
      </c>
    </row>
    <row r="99" spans="1:45" x14ac:dyDescent="0.25">
      <c r="A99">
        <v>34059</v>
      </c>
      <c r="B99" t="s">
        <v>353</v>
      </c>
      <c r="C99" s="85" t="str">
        <f>VLOOKUP(A99,ADM!$A$1:$N$343,14,0)</f>
        <v>CC Du Minervois au Caroux en Haut-Languedoc</v>
      </c>
      <c r="F99" t="s">
        <v>113</v>
      </c>
      <c r="H99">
        <v>2</v>
      </c>
      <c r="I99" t="s">
        <v>114</v>
      </c>
      <c r="J99" t="s">
        <v>114</v>
      </c>
      <c r="K99" t="s">
        <v>114</v>
      </c>
      <c r="L99" t="s">
        <v>114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  <c r="S99">
        <v>0</v>
      </c>
      <c r="T99">
        <v>2</v>
      </c>
      <c r="U99">
        <v>0</v>
      </c>
      <c r="V99">
        <v>0</v>
      </c>
      <c r="W99">
        <v>50</v>
      </c>
      <c r="X99" s="1">
        <v>0.01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3</v>
      </c>
      <c r="AQ99" t="s">
        <v>145</v>
      </c>
      <c r="AR99" t="s">
        <v>145</v>
      </c>
      <c r="AS99">
        <v>3</v>
      </c>
    </row>
    <row r="100" spans="1:45" x14ac:dyDescent="0.25">
      <c r="A100">
        <v>34060</v>
      </c>
      <c r="B100" t="s">
        <v>355</v>
      </c>
      <c r="C100" s="85" t="str">
        <f>VLOOKUP(A100,ADM!$A$1:$N$343,14,0)</f>
        <v>CC du Grand Pic Saint-Loup</v>
      </c>
      <c r="F100" t="s">
        <v>113</v>
      </c>
      <c r="H100">
        <v>0</v>
      </c>
      <c r="I100" t="s">
        <v>114</v>
      </c>
      <c r="J100" t="s">
        <v>114</v>
      </c>
      <c r="K100" t="s">
        <v>114</v>
      </c>
      <c r="L100" t="s">
        <v>114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s="1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3</v>
      </c>
      <c r="AQ100" t="s">
        <v>145</v>
      </c>
      <c r="AR100" t="s">
        <v>145</v>
      </c>
      <c r="AS100">
        <v>4</v>
      </c>
    </row>
    <row r="101" spans="1:45" x14ac:dyDescent="0.25">
      <c r="A101">
        <v>34061</v>
      </c>
      <c r="B101" t="s">
        <v>357</v>
      </c>
      <c r="C101" s="85" t="str">
        <f>VLOOKUP(A101,ADM!$A$1:$N$343,14,0)</f>
        <v>CC les Avant-Monts</v>
      </c>
      <c r="F101" t="s">
        <v>113</v>
      </c>
      <c r="H101">
        <v>0</v>
      </c>
      <c r="I101" t="s">
        <v>114</v>
      </c>
      <c r="J101" t="s">
        <v>114</v>
      </c>
      <c r="K101" t="s">
        <v>114</v>
      </c>
      <c r="L101" t="s">
        <v>114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3</v>
      </c>
      <c r="AQ101" t="s">
        <v>145</v>
      </c>
      <c r="AR101" t="s">
        <v>145</v>
      </c>
      <c r="AS101">
        <v>3</v>
      </c>
    </row>
    <row r="102" spans="1:45" x14ac:dyDescent="0.25">
      <c r="A102">
        <v>34062</v>
      </c>
      <c r="B102" t="s">
        <v>359</v>
      </c>
      <c r="C102" s="85" t="str">
        <f>VLOOKUP(A102,ADM!$A$1:$N$343,14,0)</f>
        <v>CC les Avant-Monts</v>
      </c>
      <c r="F102" t="s">
        <v>113</v>
      </c>
      <c r="H102">
        <v>0</v>
      </c>
      <c r="I102" t="s">
        <v>114</v>
      </c>
      <c r="J102" t="s">
        <v>114</v>
      </c>
      <c r="K102" t="s">
        <v>114</v>
      </c>
      <c r="L102" t="s">
        <v>114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1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3</v>
      </c>
      <c r="AQ102" t="s">
        <v>145</v>
      </c>
      <c r="AR102" t="s">
        <v>145</v>
      </c>
      <c r="AS102">
        <v>4</v>
      </c>
    </row>
    <row r="103" spans="1:45" x14ac:dyDescent="0.25">
      <c r="A103">
        <v>34063</v>
      </c>
      <c r="B103" t="s">
        <v>361</v>
      </c>
      <c r="C103" s="85" t="str">
        <f>VLOOKUP(A103,ADM!$A$1:$N$343,14,0)</f>
        <v>CA Hérault-Méditerranée</v>
      </c>
      <c r="F103" t="s">
        <v>113</v>
      </c>
      <c r="H103">
        <v>5</v>
      </c>
      <c r="I103" t="s">
        <v>114</v>
      </c>
      <c r="J103" t="s">
        <v>114</v>
      </c>
      <c r="K103" t="s">
        <v>114</v>
      </c>
      <c r="L103" t="s">
        <v>114</v>
      </c>
      <c r="M103">
        <v>1</v>
      </c>
      <c r="N103">
        <v>1</v>
      </c>
      <c r="O103">
        <v>1</v>
      </c>
      <c r="P103">
        <v>1</v>
      </c>
      <c r="Q103">
        <v>0</v>
      </c>
      <c r="R103">
        <v>1</v>
      </c>
      <c r="S103">
        <v>2</v>
      </c>
      <c r="T103">
        <v>2</v>
      </c>
      <c r="U103">
        <v>0</v>
      </c>
      <c r="V103">
        <v>0</v>
      </c>
      <c r="W103">
        <v>0</v>
      </c>
      <c r="X103" s="1">
        <v>0</v>
      </c>
      <c r="Y103">
        <v>5</v>
      </c>
      <c r="Z103">
        <v>0</v>
      </c>
      <c r="AA103">
        <v>4</v>
      </c>
      <c r="AB103">
        <v>0</v>
      </c>
      <c r="AC103">
        <v>0</v>
      </c>
      <c r="AD103">
        <v>3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5</v>
      </c>
      <c r="AO103">
        <v>0</v>
      </c>
      <c r="AP103">
        <v>3</v>
      </c>
      <c r="AQ103" t="s">
        <v>145</v>
      </c>
      <c r="AR103" t="s">
        <v>145</v>
      </c>
      <c r="AS103">
        <v>2</v>
      </c>
    </row>
    <row r="104" spans="1:45" x14ac:dyDescent="0.25">
      <c r="A104">
        <v>34064</v>
      </c>
      <c r="B104" t="s">
        <v>363</v>
      </c>
      <c r="C104" s="85" t="str">
        <f>VLOOKUP(A104,ADM!$A$1:$N$343,14,0)</f>
        <v>CC Lodévois et Larzac</v>
      </c>
      <c r="F104" t="s">
        <v>113</v>
      </c>
      <c r="H104">
        <v>39</v>
      </c>
      <c r="I104" t="s">
        <v>114</v>
      </c>
      <c r="J104">
        <v>2</v>
      </c>
      <c r="K104">
        <v>3</v>
      </c>
      <c r="L104" t="s">
        <v>114</v>
      </c>
      <c r="M104">
        <v>0</v>
      </c>
      <c r="N104">
        <v>2</v>
      </c>
      <c r="O104">
        <v>3</v>
      </c>
      <c r="P104">
        <v>1</v>
      </c>
      <c r="Q104">
        <v>0</v>
      </c>
      <c r="R104">
        <v>4</v>
      </c>
      <c r="S104">
        <v>8</v>
      </c>
      <c r="T104">
        <v>16</v>
      </c>
      <c r="U104">
        <v>11</v>
      </c>
      <c r="V104">
        <v>0</v>
      </c>
      <c r="W104">
        <v>5.4054000000000002</v>
      </c>
      <c r="X104" s="1">
        <v>0.18</v>
      </c>
      <c r="Y104">
        <v>6</v>
      </c>
      <c r="Z104">
        <v>4</v>
      </c>
      <c r="AA104">
        <v>6</v>
      </c>
      <c r="AB104">
        <v>2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3</v>
      </c>
      <c r="AQ104" t="s">
        <v>365</v>
      </c>
      <c r="AR104" t="s">
        <v>366</v>
      </c>
      <c r="AS104">
        <v>4</v>
      </c>
    </row>
    <row r="105" spans="1:45" x14ac:dyDescent="0.25">
      <c r="A105">
        <v>34065</v>
      </c>
      <c r="B105" t="s">
        <v>367</v>
      </c>
      <c r="C105" s="85" t="str">
        <f>VLOOKUP(A105,ADM!$A$1:$N$343,14,0)</f>
        <v>CC Sud-Hérault</v>
      </c>
      <c r="F105" t="s">
        <v>113</v>
      </c>
      <c r="H105">
        <v>8</v>
      </c>
      <c r="I105" t="s">
        <v>114</v>
      </c>
      <c r="J105" t="s">
        <v>114</v>
      </c>
      <c r="K105">
        <v>1</v>
      </c>
      <c r="L105" t="s">
        <v>114</v>
      </c>
      <c r="M105">
        <v>0</v>
      </c>
      <c r="N105">
        <v>0</v>
      </c>
      <c r="O105">
        <v>1</v>
      </c>
      <c r="P105">
        <v>0</v>
      </c>
      <c r="Q105">
        <v>0</v>
      </c>
      <c r="R105">
        <v>0</v>
      </c>
      <c r="S105">
        <v>4</v>
      </c>
      <c r="T105">
        <v>4</v>
      </c>
      <c r="U105">
        <v>0</v>
      </c>
      <c r="V105">
        <v>0</v>
      </c>
      <c r="W105">
        <v>14.2857</v>
      </c>
      <c r="X105" s="1">
        <v>0.03</v>
      </c>
      <c r="Y105">
        <v>3</v>
      </c>
      <c r="Z105">
        <v>1</v>
      </c>
      <c r="AA105">
        <v>2</v>
      </c>
      <c r="AB105">
        <v>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3</v>
      </c>
      <c r="AQ105" t="s">
        <v>366</v>
      </c>
      <c r="AR105" t="s">
        <v>292</v>
      </c>
      <c r="AS105">
        <v>4</v>
      </c>
    </row>
    <row r="106" spans="1:45" x14ac:dyDescent="0.25">
      <c r="A106">
        <v>34066</v>
      </c>
      <c r="B106" t="s">
        <v>369</v>
      </c>
      <c r="C106" s="85" t="str">
        <f>VLOOKUP(A106,ADM!$A$1:$N$343,14,0)</f>
        <v>CC du Grand Pic Saint-Loup</v>
      </c>
      <c r="F106" t="s">
        <v>113</v>
      </c>
      <c r="H106">
        <v>0</v>
      </c>
      <c r="I106" t="s">
        <v>114</v>
      </c>
      <c r="J106" t="s">
        <v>114</v>
      </c>
      <c r="K106" t="s">
        <v>114</v>
      </c>
      <c r="L106" t="s">
        <v>114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1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3</v>
      </c>
      <c r="AQ106" t="s">
        <v>145</v>
      </c>
      <c r="AR106" t="s">
        <v>145</v>
      </c>
      <c r="AS106">
        <v>2</v>
      </c>
    </row>
    <row r="107" spans="1:45" x14ac:dyDescent="0.25">
      <c r="A107">
        <v>34067</v>
      </c>
      <c r="B107" t="s">
        <v>371</v>
      </c>
      <c r="C107" s="85" t="str">
        <f>VLOOKUP(A107,ADM!$A$1:$N$343,14,0)</f>
        <v>CC des Cévennes Gangeoises et Suménoises</v>
      </c>
      <c r="F107" t="s">
        <v>113</v>
      </c>
      <c r="H107">
        <v>0</v>
      </c>
      <c r="I107" t="s">
        <v>114</v>
      </c>
      <c r="J107" t="s">
        <v>114</v>
      </c>
      <c r="K107" t="s">
        <v>114</v>
      </c>
      <c r="L107" t="s">
        <v>114</v>
      </c>
      <c r="M107">
        <v>0</v>
      </c>
      <c r="N107">
        <v>0</v>
      </c>
      <c r="O107">
        <v>1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1">
        <v>0</v>
      </c>
      <c r="Y107">
        <v>3</v>
      </c>
      <c r="Z107">
        <v>0</v>
      </c>
      <c r="AA107">
        <v>1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3</v>
      </c>
      <c r="AQ107" t="s">
        <v>145</v>
      </c>
      <c r="AR107" t="s">
        <v>145</v>
      </c>
      <c r="AS107">
        <v>2</v>
      </c>
    </row>
    <row r="108" spans="1:45" x14ac:dyDescent="0.25">
      <c r="A108">
        <v>34068</v>
      </c>
      <c r="B108" t="s">
        <v>373</v>
      </c>
      <c r="C108" s="85" t="str">
        <f>VLOOKUP(A108,ADM!$A$1:$N$343,14,0)</f>
        <v>CA Hérault-Méditerranée</v>
      </c>
      <c r="F108" t="s">
        <v>113</v>
      </c>
      <c r="H108">
        <v>0</v>
      </c>
      <c r="I108" t="s">
        <v>114</v>
      </c>
      <c r="J108" t="s">
        <v>114</v>
      </c>
      <c r="K108" t="s">
        <v>114</v>
      </c>
      <c r="L108" t="s">
        <v>114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 s="1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3</v>
      </c>
      <c r="AQ108" t="s">
        <v>145</v>
      </c>
      <c r="AR108" t="s">
        <v>145</v>
      </c>
      <c r="AS108">
        <v>3</v>
      </c>
    </row>
    <row r="109" spans="1:45" x14ac:dyDescent="0.25">
      <c r="A109">
        <v>34069</v>
      </c>
      <c r="B109" t="s">
        <v>375</v>
      </c>
      <c r="C109" s="85" t="str">
        <f>VLOOKUP(A109,ADM!$A$1:$N$343,14,0)</f>
        <v>CC la Domitienne</v>
      </c>
      <c r="F109" t="s">
        <v>113</v>
      </c>
      <c r="H109">
        <v>47</v>
      </c>
      <c r="I109" t="s">
        <v>114</v>
      </c>
      <c r="J109" t="s">
        <v>114</v>
      </c>
      <c r="K109" t="s">
        <v>114</v>
      </c>
      <c r="L109">
        <v>9</v>
      </c>
      <c r="M109">
        <v>1</v>
      </c>
      <c r="N109">
        <v>12</v>
      </c>
      <c r="O109">
        <v>16</v>
      </c>
      <c r="P109">
        <v>9</v>
      </c>
      <c r="Q109">
        <v>0</v>
      </c>
      <c r="R109">
        <v>0</v>
      </c>
      <c r="S109">
        <v>17</v>
      </c>
      <c r="T109">
        <v>25</v>
      </c>
      <c r="U109">
        <v>5</v>
      </c>
      <c r="V109">
        <v>0</v>
      </c>
      <c r="W109">
        <v>2.1739000000000002</v>
      </c>
      <c r="X109" s="1">
        <v>0.02</v>
      </c>
      <c r="Y109">
        <v>50</v>
      </c>
      <c r="Z109">
        <v>4</v>
      </c>
      <c r="AA109">
        <v>46</v>
      </c>
      <c r="AB109">
        <v>1</v>
      </c>
      <c r="AC109">
        <v>0</v>
      </c>
      <c r="AD109">
        <v>21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34</v>
      </c>
      <c r="AO109">
        <v>0</v>
      </c>
      <c r="AP109">
        <v>3</v>
      </c>
      <c r="AQ109" t="s">
        <v>378</v>
      </c>
      <c r="AR109" t="s">
        <v>379</v>
      </c>
      <c r="AS109">
        <v>1</v>
      </c>
    </row>
    <row r="110" spans="1:45" x14ac:dyDescent="0.25">
      <c r="A110">
        <v>34070</v>
      </c>
      <c r="B110" t="s">
        <v>380</v>
      </c>
      <c r="C110" s="85" t="str">
        <f>VLOOKUP(A110,ADM!$A$1:$N$343,14,0)</f>
        <v>CC Sud-Hérault</v>
      </c>
      <c r="F110" t="s">
        <v>113</v>
      </c>
      <c r="H110">
        <v>5</v>
      </c>
      <c r="I110" t="s">
        <v>114</v>
      </c>
      <c r="J110" t="s">
        <v>114</v>
      </c>
      <c r="K110">
        <v>2</v>
      </c>
      <c r="L110">
        <v>0</v>
      </c>
      <c r="M110">
        <v>0</v>
      </c>
      <c r="N110">
        <v>1</v>
      </c>
      <c r="O110">
        <v>2</v>
      </c>
      <c r="P110">
        <v>0</v>
      </c>
      <c r="Q110">
        <v>0</v>
      </c>
      <c r="R110">
        <v>0</v>
      </c>
      <c r="S110">
        <v>2</v>
      </c>
      <c r="T110">
        <v>3</v>
      </c>
      <c r="U110">
        <v>0</v>
      </c>
      <c r="V110">
        <v>0</v>
      </c>
      <c r="W110">
        <v>75</v>
      </c>
      <c r="X110" s="1">
        <v>0.02</v>
      </c>
      <c r="Y110">
        <v>0</v>
      </c>
      <c r="Z110">
        <v>2</v>
      </c>
      <c r="AA110">
        <v>4</v>
      </c>
      <c r="AB110">
        <v>2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3</v>
      </c>
      <c r="AQ110" t="s">
        <v>382</v>
      </c>
      <c r="AR110" t="s">
        <v>292</v>
      </c>
      <c r="AS110">
        <v>4</v>
      </c>
    </row>
    <row r="111" spans="1:45" x14ac:dyDescent="0.25">
      <c r="A111">
        <v>34071</v>
      </c>
      <c r="B111" t="s">
        <v>383</v>
      </c>
      <c r="C111" s="85" t="str">
        <f>VLOOKUP(A111,ADM!$A$1:$N$343,14,0)</f>
        <v>CC Grand Orb en Languedoc</v>
      </c>
      <c r="F111" t="s">
        <v>113</v>
      </c>
      <c r="H111">
        <v>3</v>
      </c>
      <c r="I111" t="s">
        <v>114</v>
      </c>
      <c r="J111" t="s">
        <v>114</v>
      </c>
      <c r="K111" t="s">
        <v>114</v>
      </c>
      <c r="L111" t="s">
        <v>114</v>
      </c>
      <c r="Q111">
        <v>0</v>
      </c>
      <c r="R111">
        <v>0</v>
      </c>
      <c r="S111">
        <v>3</v>
      </c>
      <c r="T111">
        <v>0</v>
      </c>
      <c r="U111">
        <v>0</v>
      </c>
      <c r="V111">
        <v>66.666700000000006</v>
      </c>
      <c r="W111">
        <v>0</v>
      </c>
      <c r="X111" s="1">
        <v>0.02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3</v>
      </c>
      <c r="AQ111" t="s">
        <v>145</v>
      </c>
      <c r="AR111" t="s">
        <v>145</v>
      </c>
      <c r="AS111">
        <v>4</v>
      </c>
    </row>
    <row r="112" spans="1:45" x14ac:dyDescent="0.25">
      <c r="A112">
        <v>34072</v>
      </c>
      <c r="B112" t="s">
        <v>385</v>
      </c>
      <c r="C112" s="85" t="str">
        <f>VLOOKUP(A112,ADM!$A$1:$N$343,14,0)</f>
        <v>CC Lodévois et Larzac</v>
      </c>
      <c r="F112" t="s">
        <v>113</v>
      </c>
      <c r="H112">
        <v>0</v>
      </c>
      <c r="I112" t="s">
        <v>114</v>
      </c>
      <c r="J112" t="s">
        <v>114</v>
      </c>
      <c r="K112" t="s">
        <v>114</v>
      </c>
      <c r="L112" t="s">
        <v>114</v>
      </c>
      <c r="M112">
        <v>0</v>
      </c>
      <c r="N112">
        <v>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1">
        <v>0</v>
      </c>
      <c r="Y112">
        <v>1</v>
      </c>
      <c r="Z112">
        <v>0</v>
      </c>
      <c r="AA112">
        <v>3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3</v>
      </c>
      <c r="AQ112" t="s">
        <v>145</v>
      </c>
      <c r="AR112" t="s">
        <v>145</v>
      </c>
      <c r="AS112">
        <v>4</v>
      </c>
    </row>
    <row r="113" spans="1:45" x14ac:dyDescent="0.25">
      <c r="A113">
        <v>34073</v>
      </c>
      <c r="B113" t="s">
        <v>387</v>
      </c>
      <c r="C113" s="85" t="str">
        <f>VLOOKUP(A113,ADM!$A$1:$N$343,14,0)</f>
        <v>CA de Béziers-Méditerranée</v>
      </c>
      <c r="F113" t="s">
        <v>113</v>
      </c>
      <c r="H113">
        <v>79</v>
      </c>
      <c r="I113" t="s">
        <v>114</v>
      </c>
      <c r="J113" t="s">
        <v>114</v>
      </c>
      <c r="K113">
        <v>2.3333333330000001</v>
      </c>
      <c r="L113" t="s">
        <v>114</v>
      </c>
      <c r="M113">
        <v>3</v>
      </c>
      <c r="N113">
        <v>7</v>
      </c>
      <c r="O113">
        <v>14</v>
      </c>
      <c r="P113">
        <v>20</v>
      </c>
      <c r="Q113">
        <v>0</v>
      </c>
      <c r="R113">
        <v>4</v>
      </c>
      <c r="S113">
        <v>37</v>
      </c>
      <c r="T113">
        <v>36</v>
      </c>
      <c r="U113">
        <v>2</v>
      </c>
      <c r="V113">
        <v>1.2658</v>
      </c>
      <c r="W113">
        <v>7.5949</v>
      </c>
      <c r="X113" s="1">
        <v>7.0000000000000007E-2</v>
      </c>
      <c r="Y113">
        <v>39</v>
      </c>
      <c r="Z113">
        <v>3</v>
      </c>
      <c r="AA113">
        <v>50</v>
      </c>
      <c r="AB113">
        <v>6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3</v>
      </c>
      <c r="AQ113" t="s">
        <v>389</v>
      </c>
      <c r="AR113" t="s">
        <v>390</v>
      </c>
      <c r="AS113">
        <v>1</v>
      </c>
    </row>
    <row r="114" spans="1:45" x14ac:dyDescent="0.25">
      <c r="A114">
        <v>34074</v>
      </c>
      <c r="B114" t="s">
        <v>391</v>
      </c>
      <c r="C114" s="85" t="str">
        <f>VLOOKUP(A114,ADM!$A$1:$N$343,14,0)</f>
        <v>CC Sud-Hérault</v>
      </c>
      <c r="F114" t="s">
        <v>113</v>
      </c>
      <c r="H114">
        <v>42</v>
      </c>
      <c r="I114" t="s">
        <v>114</v>
      </c>
      <c r="J114" t="s">
        <v>114</v>
      </c>
      <c r="K114">
        <v>8</v>
      </c>
      <c r="L114">
        <v>5</v>
      </c>
      <c r="M114">
        <v>2</v>
      </c>
      <c r="N114">
        <v>4</v>
      </c>
      <c r="O114">
        <v>8</v>
      </c>
      <c r="P114">
        <v>10</v>
      </c>
      <c r="Q114">
        <v>0</v>
      </c>
      <c r="R114">
        <v>2</v>
      </c>
      <c r="S114">
        <v>14</v>
      </c>
      <c r="T114">
        <v>19</v>
      </c>
      <c r="U114">
        <v>7</v>
      </c>
      <c r="V114">
        <v>0</v>
      </c>
      <c r="W114">
        <v>9.7561</v>
      </c>
      <c r="X114" s="1">
        <v>0.04</v>
      </c>
      <c r="Y114">
        <v>30</v>
      </c>
      <c r="Z114">
        <v>3</v>
      </c>
      <c r="AA114">
        <v>26</v>
      </c>
      <c r="AB114">
        <v>3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3</v>
      </c>
      <c r="AQ114" t="s">
        <v>172</v>
      </c>
      <c r="AR114" t="s">
        <v>393</v>
      </c>
      <c r="AS114">
        <v>2</v>
      </c>
    </row>
    <row r="115" spans="1:45" x14ac:dyDescent="0.25">
      <c r="A115">
        <v>34075</v>
      </c>
      <c r="B115" t="s">
        <v>394</v>
      </c>
      <c r="C115" s="85" t="str">
        <f>VLOOKUP(A115,ADM!$A$1:$N$343,14,0)</f>
        <v>CC Du Minervois au Caroux en Haut-Languedoc</v>
      </c>
      <c r="F115" t="s">
        <v>113</v>
      </c>
      <c r="H115">
        <v>0</v>
      </c>
      <c r="I115" t="s">
        <v>114</v>
      </c>
      <c r="J115" t="s">
        <v>114</v>
      </c>
      <c r="K115" t="s">
        <v>114</v>
      </c>
      <c r="L115" t="s">
        <v>114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1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3</v>
      </c>
      <c r="AQ115" t="s">
        <v>145</v>
      </c>
      <c r="AR115" t="s">
        <v>145</v>
      </c>
      <c r="AS115">
        <v>3</v>
      </c>
    </row>
    <row r="116" spans="1:45" x14ac:dyDescent="0.25">
      <c r="A116">
        <v>34076</v>
      </c>
      <c r="B116" t="s">
        <v>396</v>
      </c>
      <c r="C116" s="85" t="str">
        <f>VLOOKUP(A116,ADM!$A$1:$N$343,14,0)</f>
        <v>CC du Clermontais</v>
      </c>
      <c r="F116" t="s">
        <v>113</v>
      </c>
      <c r="H116">
        <v>16</v>
      </c>
      <c r="I116" t="s">
        <v>114</v>
      </c>
      <c r="J116" t="s">
        <v>114</v>
      </c>
      <c r="K116" t="s">
        <v>114</v>
      </c>
      <c r="L116" t="s">
        <v>114</v>
      </c>
      <c r="M116">
        <v>0</v>
      </c>
      <c r="N116">
        <v>1</v>
      </c>
      <c r="O116">
        <v>3</v>
      </c>
      <c r="P116">
        <v>5</v>
      </c>
      <c r="Q116">
        <v>0</v>
      </c>
      <c r="R116">
        <v>0</v>
      </c>
      <c r="S116">
        <v>10</v>
      </c>
      <c r="T116">
        <v>5</v>
      </c>
      <c r="U116">
        <v>1</v>
      </c>
      <c r="V116">
        <v>0</v>
      </c>
      <c r="W116">
        <v>6.25</v>
      </c>
      <c r="X116" s="1">
        <v>0.03</v>
      </c>
      <c r="Y116">
        <v>9</v>
      </c>
      <c r="Z116">
        <v>1</v>
      </c>
      <c r="AA116">
        <v>11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3</v>
      </c>
      <c r="AQ116" t="s">
        <v>244</v>
      </c>
      <c r="AR116" t="s">
        <v>145</v>
      </c>
      <c r="AS116">
        <v>2</v>
      </c>
    </row>
    <row r="117" spans="1:45" x14ac:dyDescent="0.25">
      <c r="A117">
        <v>34078</v>
      </c>
      <c r="B117" t="s">
        <v>403</v>
      </c>
      <c r="C117" s="85" t="str">
        <f>VLOOKUP(A117,ADM!$A$1:$N$343,14,0)</f>
        <v>CC du Grand Pic Saint-Loup</v>
      </c>
      <c r="F117" t="s">
        <v>113</v>
      </c>
      <c r="H117">
        <v>17</v>
      </c>
      <c r="I117" t="s">
        <v>114</v>
      </c>
      <c r="J117" t="s">
        <v>114</v>
      </c>
      <c r="K117" t="s">
        <v>114</v>
      </c>
      <c r="L117">
        <v>2</v>
      </c>
      <c r="M117">
        <v>0</v>
      </c>
      <c r="N117">
        <v>3</v>
      </c>
      <c r="O117">
        <v>2</v>
      </c>
      <c r="P117">
        <v>2</v>
      </c>
      <c r="Q117">
        <v>0</v>
      </c>
      <c r="R117">
        <v>1</v>
      </c>
      <c r="S117">
        <v>7</v>
      </c>
      <c r="T117">
        <v>7</v>
      </c>
      <c r="U117">
        <v>2</v>
      </c>
      <c r="V117">
        <v>5.8823999999999996</v>
      </c>
      <c r="W117">
        <v>5.8823999999999996</v>
      </c>
      <c r="X117" s="1">
        <v>0.03</v>
      </c>
      <c r="Y117">
        <v>9</v>
      </c>
      <c r="Z117">
        <v>2</v>
      </c>
      <c r="AA117">
        <v>8</v>
      </c>
      <c r="AB117">
        <v>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3</v>
      </c>
      <c r="AQ117" t="s">
        <v>347</v>
      </c>
      <c r="AR117" t="s">
        <v>405</v>
      </c>
      <c r="AS117">
        <v>3</v>
      </c>
    </row>
    <row r="118" spans="1:45" x14ac:dyDescent="0.25">
      <c r="A118">
        <v>34079</v>
      </c>
      <c r="B118" t="s">
        <v>406</v>
      </c>
      <c r="C118" s="85" t="str">
        <f>VLOOKUP(A118,ADM!$A$1:$N$343,14,0)</f>
        <v>CC du Clermontais</v>
      </c>
      <c r="F118" t="s">
        <v>113</v>
      </c>
      <c r="H118">
        <v>770</v>
      </c>
      <c r="I118">
        <v>13</v>
      </c>
      <c r="J118">
        <v>10.84615385</v>
      </c>
      <c r="K118">
        <v>2.3125</v>
      </c>
      <c r="L118">
        <v>2</v>
      </c>
      <c r="M118">
        <v>39</v>
      </c>
      <c r="N118">
        <v>141</v>
      </c>
      <c r="O118">
        <v>111</v>
      </c>
      <c r="P118">
        <v>76</v>
      </c>
      <c r="Q118">
        <v>21</v>
      </c>
      <c r="R118">
        <v>98</v>
      </c>
      <c r="S118">
        <v>287</v>
      </c>
      <c r="T118">
        <v>301</v>
      </c>
      <c r="U118">
        <v>63</v>
      </c>
      <c r="V118">
        <v>1.3793</v>
      </c>
      <c r="W118">
        <v>7.7496</v>
      </c>
      <c r="X118" s="1">
        <v>0.19</v>
      </c>
      <c r="Y118">
        <v>385</v>
      </c>
      <c r="Z118">
        <v>66</v>
      </c>
      <c r="AA118">
        <v>389</v>
      </c>
      <c r="AB118">
        <v>102</v>
      </c>
      <c r="AC118">
        <v>12</v>
      </c>
      <c r="AD118">
        <v>25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50</v>
      </c>
      <c r="AO118">
        <v>0</v>
      </c>
      <c r="AP118">
        <v>3</v>
      </c>
      <c r="AQ118" t="s">
        <v>408</v>
      </c>
      <c r="AR118" t="s">
        <v>409</v>
      </c>
      <c r="AS118">
        <v>2</v>
      </c>
    </row>
    <row r="119" spans="1:45" x14ac:dyDescent="0.25">
      <c r="A119">
        <v>34080</v>
      </c>
      <c r="B119" t="s">
        <v>410</v>
      </c>
      <c r="C119" s="85" t="str">
        <f>VLOOKUP(A119,ADM!$A$1:$N$343,14,0)</f>
        <v>CC Du Minervois au Caroux en Haut-Languedoc</v>
      </c>
      <c r="F119" t="s">
        <v>113</v>
      </c>
      <c r="H119">
        <v>0</v>
      </c>
      <c r="I119" t="s">
        <v>114</v>
      </c>
      <c r="J119" t="s">
        <v>114</v>
      </c>
      <c r="K119" t="s">
        <v>114</v>
      </c>
      <c r="L119" t="s">
        <v>114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1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2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4</v>
      </c>
      <c r="AO119">
        <v>0</v>
      </c>
      <c r="AP119">
        <v>3</v>
      </c>
      <c r="AQ119" t="s">
        <v>145</v>
      </c>
      <c r="AR119" t="s">
        <v>145</v>
      </c>
      <c r="AS119">
        <v>4</v>
      </c>
    </row>
    <row r="120" spans="1:45" x14ac:dyDescent="0.25">
      <c r="A120">
        <v>34081</v>
      </c>
      <c r="B120" t="s">
        <v>412</v>
      </c>
      <c r="C120" s="85" t="str">
        <f>VLOOKUP(A120,ADM!$A$1:$N$343,14,0)</f>
        <v>CC la Domitienne</v>
      </c>
      <c r="F120" t="s">
        <v>113</v>
      </c>
      <c r="H120">
        <v>102</v>
      </c>
      <c r="I120" t="s">
        <v>114</v>
      </c>
      <c r="J120">
        <v>9</v>
      </c>
      <c r="K120" t="s">
        <v>114</v>
      </c>
      <c r="L120">
        <v>7.5</v>
      </c>
      <c r="M120">
        <v>6</v>
      </c>
      <c r="N120">
        <v>27</v>
      </c>
      <c r="O120">
        <v>30</v>
      </c>
      <c r="P120">
        <v>15</v>
      </c>
      <c r="Q120">
        <v>0</v>
      </c>
      <c r="R120">
        <v>30</v>
      </c>
      <c r="S120">
        <v>43</v>
      </c>
      <c r="T120">
        <v>29</v>
      </c>
      <c r="U120">
        <v>0</v>
      </c>
      <c r="V120">
        <v>0.98040000000000005</v>
      </c>
      <c r="W120">
        <v>4.9020000000000001</v>
      </c>
      <c r="X120" s="1">
        <v>0.09</v>
      </c>
      <c r="Y120">
        <v>76</v>
      </c>
      <c r="Z120">
        <v>7</v>
      </c>
      <c r="AA120">
        <v>89</v>
      </c>
      <c r="AB120">
        <v>5</v>
      </c>
      <c r="AC120">
        <v>0</v>
      </c>
      <c r="AD120">
        <v>4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8</v>
      </c>
      <c r="AO120">
        <v>0</v>
      </c>
      <c r="AP120">
        <v>3</v>
      </c>
      <c r="AQ120" t="s">
        <v>414</v>
      </c>
      <c r="AR120" t="s">
        <v>415</v>
      </c>
      <c r="AS120">
        <v>1</v>
      </c>
    </row>
    <row r="121" spans="1:45" x14ac:dyDescent="0.25">
      <c r="A121">
        <v>34082</v>
      </c>
      <c r="B121" t="s">
        <v>416</v>
      </c>
      <c r="C121" s="85" t="str">
        <f>VLOOKUP(A121,ADM!$A$1:$N$343,14,0)</f>
        <v>CC du Grand Pic Saint-Loup</v>
      </c>
      <c r="F121" t="s">
        <v>113</v>
      </c>
      <c r="H121">
        <v>15</v>
      </c>
      <c r="I121" t="s">
        <v>114</v>
      </c>
      <c r="J121" t="s">
        <v>114</v>
      </c>
      <c r="K121" t="s">
        <v>114</v>
      </c>
      <c r="L121" t="s">
        <v>114</v>
      </c>
      <c r="M121">
        <v>0</v>
      </c>
      <c r="N121">
        <v>2</v>
      </c>
      <c r="O121">
        <v>4</v>
      </c>
      <c r="P121">
        <v>1</v>
      </c>
      <c r="Q121">
        <v>1</v>
      </c>
      <c r="R121">
        <v>4</v>
      </c>
      <c r="S121">
        <v>8</v>
      </c>
      <c r="T121">
        <v>1</v>
      </c>
      <c r="U121">
        <v>1</v>
      </c>
      <c r="V121">
        <v>0</v>
      </c>
      <c r="W121">
        <v>0</v>
      </c>
      <c r="X121" s="1">
        <v>0.02</v>
      </c>
      <c r="Y121">
        <v>18</v>
      </c>
      <c r="Z121">
        <v>15</v>
      </c>
      <c r="AA121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3</v>
      </c>
      <c r="AQ121" t="s">
        <v>418</v>
      </c>
      <c r="AR121" t="s">
        <v>145</v>
      </c>
      <c r="AS121">
        <v>2</v>
      </c>
    </row>
    <row r="122" spans="1:45" x14ac:dyDescent="0.25">
      <c r="A122">
        <v>34083</v>
      </c>
      <c r="B122" t="s">
        <v>419</v>
      </c>
      <c r="C122" s="85" t="str">
        <f>VLOOKUP(A122,ADM!$A$1:$N$343,14,0)</f>
        <v>CC Grand Orb en Languedoc</v>
      </c>
      <c r="F122" t="s">
        <v>113</v>
      </c>
      <c r="H122">
        <v>0</v>
      </c>
      <c r="I122" t="s">
        <v>114</v>
      </c>
      <c r="J122" t="s">
        <v>114</v>
      </c>
      <c r="K122" t="s">
        <v>114</v>
      </c>
      <c r="L122" t="s">
        <v>114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1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3</v>
      </c>
      <c r="AQ122" t="s">
        <v>145</v>
      </c>
      <c r="AR122" t="s">
        <v>145</v>
      </c>
      <c r="AS122">
        <v>4</v>
      </c>
    </row>
    <row r="123" spans="1:45" x14ac:dyDescent="0.25">
      <c r="A123">
        <v>34084</v>
      </c>
      <c r="B123" t="s">
        <v>421</v>
      </c>
      <c r="C123" s="85" t="str">
        <f>VLOOKUP(A123,ADM!$A$1:$N$343,14,0)</f>
        <v>CA de Béziers-Méditerranée</v>
      </c>
      <c r="F123" t="s">
        <v>113</v>
      </c>
      <c r="H123">
        <v>27</v>
      </c>
      <c r="I123" t="s">
        <v>114</v>
      </c>
      <c r="J123" t="s">
        <v>114</v>
      </c>
      <c r="K123" t="s">
        <v>114</v>
      </c>
      <c r="L123" t="s">
        <v>114</v>
      </c>
      <c r="M123">
        <v>0</v>
      </c>
      <c r="N123">
        <v>2</v>
      </c>
      <c r="O123">
        <v>1</v>
      </c>
      <c r="P123">
        <v>2</v>
      </c>
      <c r="Q123">
        <v>0</v>
      </c>
      <c r="R123">
        <v>3</v>
      </c>
      <c r="S123">
        <v>9</v>
      </c>
      <c r="T123">
        <v>15</v>
      </c>
      <c r="U123">
        <v>0</v>
      </c>
      <c r="V123">
        <v>7.4074</v>
      </c>
      <c r="W123">
        <v>0</v>
      </c>
      <c r="X123" s="1">
        <v>0.04</v>
      </c>
      <c r="Y123">
        <v>12</v>
      </c>
      <c r="Z123">
        <v>4</v>
      </c>
      <c r="AA123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3</v>
      </c>
      <c r="AQ123" t="s">
        <v>366</v>
      </c>
      <c r="AR123" t="s">
        <v>145</v>
      </c>
      <c r="AS123">
        <v>2</v>
      </c>
    </row>
    <row r="124" spans="1:45" x14ac:dyDescent="0.25">
      <c r="A124">
        <v>34085</v>
      </c>
      <c r="B124" t="s">
        <v>425</v>
      </c>
      <c r="C124" s="85" t="str">
        <f>VLOOKUP(A124,ADM!$A$1:$N$343,14,0)</f>
        <v>CA de Béziers-Méditerranée</v>
      </c>
      <c r="F124" t="s">
        <v>113</v>
      </c>
      <c r="H124">
        <v>0</v>
      </c>
      <c r="I124" t="s">
        <v>114</v>
      </c>
      <c r="J124" t="s">
        <v>114</v>
      </c>
      <c r="K124" t="s">
        <v>114</v>
      </c>
      <c r="L124" t="s">
        <v>114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1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3</v>
      </c>
      <c r="AQ124" t="s">
        <v>145</v>
      </c>
      <c r="AR124" t="s">
        <v>145</v>
      </c>
      <c r="AS124">
        <v>3</v>
      </c>
    </row>
    <row r="125" spans="1:45" x14ac:dyDescent="0.25">
      <c r="A125">
        <v>34086</v>
      </c>
      <c r="B125" t="s">
        <v>427</v>
      </c>
      <c r="C125" s="85" t="str">
        <f>VLOOKUP(A125,ADM!$A$1:$N$343,14,0)</f>
        <v>CC Du Minervois au Caroux en Haut-Languedoc</v>
      </c>
      <c r="F125" t="s">
        <v>113</v>
      </c>
      <c r="H125">
        <v>9</v>
      </c>
      <c r="I125" t="s">
        <v>114</v>
      </c>
      <c r="J125" t="s">
        <v>114</v>
      </c>
      <c r="K125" t="s">
        <v>114</v>
      </c>
      <c r="L125" t="s">
        <v>114</v>
      </c>
      <c r="M125">
        <v>0</v>
      </c>
      <c r="N125">
        <v>0</v>
      </c>
      <c r="O125">
        <v>0</v>
      </c>
      <c r="P125">
        <v>1</v>
      </c>
      <c r="Q125">
        <v>0</v>
      </c>
      <c r="R125">
        <v>0</v>
      </c>
      <c r="S125">
        <v>3</v>
      </c>
      <c r="T125">
        <v>3</v>
      </c>
      <c r="U125">
        <v>3</v>
      </c>
      <c r="V125">
        <v>0</v>
      </c>
      <c r="W125">
        <v>0</v>
      </c>
      <c r="X125" s="1">
        <v>0.03</v>
      </c>
      <c r="Y125">
        <v>1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3</v>
      </c>
      <c r="AQ125" t="s">
        <v>145</v>
      </c>
      <c r="AR125" t="s">
        <v>145</v>
      </c>
      <c r="AS125">
        <v>4</v>
      </c>
    </row>
    <row r="126" spans="1:45" x14ac:dyDescent="0.25">
      <c r="A126">
        <v>34087</v>
      </c>
      <c r="B126" t="s">
        <v>429</v>
      </c>
      <c r="C126" s="85" t="str">
        <f>VLOOKUP(A126,ADM!$A$1:$N$343,14,0)</f>
        <v>Montpellier Méditerranée Métropole</v>
      </c>
      <c r="F126" t="s">
        <v>113</v>
      </c>
      <c r="H126">
        <v>147</v>
      </c>
      <c r="I126">
        <v>5</v>
      </c>
      <c r="J126" t="s">
        <v>114</v>
      </c>
      <c r="K126">
        <v>3.6666666669999999</v>
      </c>
      <c r="L126" t="s">
        <v>114</v>
      </c>
      <c r="M126">
        <v>5</v>
      </c>
      <c r="N126">
        <v>19</v>
      </c>
      <c r="O126">
        <v>22</v>
      </c>
      <c r="P126">
        <v>15</v>
      </c>
      <c r="Q126">
        <v>1</v>
      </c>
      <c r="R126">
        <v>24</v>
      </c>
      <c r="S126">
        <v>72</v>
      </c>
      <c r="T126">
        <v>47</v>
      </c>
      <c r="U126">
        <v>3</v>
      </c>
      <c r="V126">
        <v>0</v>
      </c>
      <c r="W126">
        <v>6.25</v>
      </c>
      <c r="X126" s="1">
        <v>0.12</v>
      </c>
      <c r="Y126">
        <v>75</v>
      </c>
      <c r="Z126">
        <v>11</v>
      </c>
      <c r="AA126">
        <v>61</v>
      </c>
      <c r="AB126">
        <v>7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3</v>
      </c>
      <c r="AQ126" t="s">
        <v>433</v>
      </c>
      <c r="AR126" t="s">
        <v>434</v>
      </c>
      <c r="AS126">
        <v>1</v>
      </c>
    </row>
    <row r="127" spans="1:45" x14ac:dyDescent="0.25">
      <c r="A127">
        <v>34089</v>
      </c>
      <c r="B127" t="s">
        <v>440</v>
      </c>
      <c r="C127" s="85" t="str">
        <f>VLOOKUP(A127,ADM!$A$1:$N$343,14,0)</f>
        <v>CC Sud-Hérault</v>
      </c>
      <c r="F127" t="s">
        <v>113</v>
      </c>
      <c r="H127">
        <v>24</v>
      </c>
      <c r="I127" t="s">
        <v>114</v>
      </c>
      <c r="J127" t="s">
        <v>114</v>
      </c>
      <c r="K127">
        <v>1.5</v>
      </c>
      <c r="L127" t="s">
        <v>114</v>
      </c>
      <c r="M127">
        <v>0</v>
      </c>
      <c r="N127">
        <v>2</v>
      </c>
      <c r="O127">
        <v>3</v>
      </c>
      <c r="P127">
        <v>0</v>
      </c>
      <c r="Q127">
        <v>0</v>
      </c>
      <c r="R127">
        <v>2</v>
      </c>
      <c r="S127">
        <v>12</v>
      </c>
      <c r="T127">
        <v>10</v>
      </c>
      <c r="U127">
        <v>0</v>
      </c>
      <c r="V127">
        <v>0</v>
      </c>
      <c r="W127">
        <v>13.0435</v>
      </c>
      <c r="X127" s="1">
        <v>0.04</v>
      </c>
      <c r="Y127">
        <v>12</v>
      </c>
      <c r="Z127">
        <v>3</v>
      </c>
      <c r="AA127">
        <v>5</v>
      </c>
      <c r="AB127">
        <v>2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3</v>
      </c>
      <c r="AQ127" t="s">
        <v>442</v>
      </c>
      <c r="AR127" t="s">
        <v>304</v>
      </c>
      <c r="AS127">
        <v>4</v>
      </c>
    </row>
    <row r="128" spans="1:45" x14ac:dyDescent="0.25">
      <c r="A128">
        <v>34091</v>
      </c>
      <c r="B128" t="s">
        <v>448</v>
      </c>
      <c r="C128" s="85" t="str">
        <f>VLOOKUP(A128,ADM!$A$1:$N$343,14,0)</f>
        <v>CC Lodévois et Larzac</v>
      </c>
      <c r="F128" t="s">
        <v>113</v>
      </c>
      <c r="H128">
        <v>0</v>
      </c>
      <c r="I128" t="s">
        <v>114</v>
      </c>
      <c r="J128" t="s">
        <v>114</v>
      </c>
      <c r="K128" t="s">
        <v>114</v>
      </c>
      <c r="L128" t="s">
        <v>114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1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3</v>
      </c>
      <c r="AQ128" t="s">
        <v>145</v>
      </c>
      <c r="AR128" t="s">
        <v>145</v>
      </c>
      <c r="AS128">
        <v>4</v>
      </c>
    </row>
    <row r="129" spans="1:45" x14ac:dyDescent="0.25">
      <c r="A129">
        <v>34092</v>
      </c>
      <c r="B129" t="s">
        <v>451</v>
      </c>
      <c r="C129" s="85" t="str">
        <f>VLOOKUP(A129,ADM!$A$1:$N$343,14,0)</f>
        <v>CC Sud-Hérault</v>
      </c>
      <c r="F129" t="s">
        <v>113</v>
      </c>
      <c r="H129">
        <v>0</v>
      </c>
      <c r="I129" t="s">
        <v>114</v>
      </c>
      <c r="J129" t="s">
        <v>114</v>
      </c>
      <c r="K129" t="s">
        <v>114</v>
      </c>
      <c r="L129" t="s">
        <v>114</v>
      </c>
      <c r="M129">
        <v>1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1">
        <v>0</v>
      </c>
      <c r="Y129">
        <v>0</v>
      </c>
      <c r="Z129">
        <v>0</v>
      </c>
      <c r="AA129">
        <v>2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3</v>
      </c>
      <c r="AQ129" t="s">
        <v>145</v>
      </c>
      <c r="AR129" t="s">
        <v>145</v>
      </c>
      <c r="AS129">
        <v>4</v>
      </c>
    </row>
    <row r="130" spans="1:45" x14ac:dyDescent="0.25">
      <c r="A130">
        <v>34093</v>
      </c>
      <c r="B130" t="s">
        <v>453</v>
      </c>
      <c r="C130" s="85" t="str">
        <f>VLOOKUP(A130,ADM!$A$1:$N$343,14,0)</f>
        <v>CC Grand Orb en Languedoc</v>
      </c>
      <c r="F130" t="s">
        <v>113</v>
      </c>
      <c r="H130">
        <v>0</v>
      </c>
      <c r="I130" t="s">
        <v>114</v>
      </c>
      <c r="J130" t="s">
        <v>114</v>
      </c>
      <c r="K130" t="s">
        <v>114</v>
      </c>
      <c r="L130" t="s">
        <v>114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1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3</v>
      </c>
      <c r="AQ130" t="s">
        <v>145</v>
      </c>
      <c r="AR130" t="s">
        <v>145</v>
      </c>
      <c r="AS130">
        <v>4</v>
      </c>
    </row>
    <row r="131" spans="1:45" x14ac:dyDescent="0.25">
      <c r="A131">
        <v>34094</v>
      </c>
      <c r="B131" t="s">
        <v>455</v>
      </c>
      <c r="C131" s="85" t="str">
        <f>VLOOKUP(A131,ADM!$A$1:$N$343,14,0)</f>
        <v>CA de Béziers-Méditerranée</v>
      </c>
      <c r="F131" t="s">
        <v>113</v>
      </c>
      <c r="H131">
        <v>2</v>
      </c>
      <c r="I131" t="s">
        <v>114</v>
      </c>
      <c r="J131" t="s">
        <v>114</v>
      </c>
      <c r="K131" t="s">
        <v>114</v>
      </c>
      <c r="L131" t="s">
        <v>114</v>
      </c>
      <c r="M131">
        <v>3</v>
      </c>
      <c r="N131">
        <v>4</v>
      </c>
      <c r="O131">
        <v>4</v>
      </c>
      <c r="P131">
        <v>2</v>
      </c>
      <c r="Q131">
        <v>0</v>
      </c>
      <c r="R131">
        <v>0</v>
      </c>
      <c r="S131">
        <v>0</v>
      </c>
      <c r="T131">
        <v>2</v>
      </c>
      <c r="U131">
        <v>0</v>
      </c>
      <c r="V131">
        <v>0</v>
      </c>
      <c r="W131">
        <v>0</v>
      </c>
      <c r="X131" s="1">
        <v>0</v>
      </c>
      <c r="Y131">
        <v>3</v>
      </c>
      <c r="Z131">
        <v>0</v>
      </c>
      <c r="AA131">
        <v>15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3</v>
      </c>
      <c r="AQ131" t="s">
        <v>145</v>
      </c>
      <c r="AR131" t="s">
        <v>145</v>
      </c>
      <c r="AS131">
        <v>3</v>
      </c>
    </row>
    <row r="132" spans="1:45" x14ac:dyDescent="0.25">
      <c r="A132">
        <v>34096</v>
      </c>
      <c r="B132" t="s">
        <v>461</v>
      </c>
      <c r="C132" s="85" t="str">
        <f>VLOOKUP(A132,ADM!$A$1:$N$343,14,0)</f>
        <v>CC les Avant-Monts</v>
      </c>
      <c r="F132" t="s">
        <v>113</v>
      </c>
      <c r="H132">
        <v>5</v>
      </c>
      <c r="I132" t="s">
        <v>114</v>
      </c>
      <c r="J132" t="s">
        <v>114</v>
      </c>
      <c r="K132" t="s">
        <v>114</v>
      </c>
      <c r="L132" t="s">
        <v>114</v>
      </c>
      <c r="M132">
        <v>0</v>
      </c>
      <c r="N132">
        <v>0</v>
      </c>
      <c r="O132">
        <v>2</v>
      </c>
      <c r="P132">
        <v>0</v>
      </c>
      <c r="Q132">
        <v>0</v>
      </c>
      <c r="R132">
        <v>0</v>
      </c>
      <c r="S132">
        <v>0</v>
      </c>
      <c r="T132">
        <v>4</v>
      </c>
      <c r="U132">
        <v>1</v>
      </c>
      <c r="V132">
        <v>0</v>
      </c>
      <c r="W132">
        <v>25</v>
      </c>
      <c r="X132" s="1">
        <v>0.02</v>
      </c>
      <c r="Y132">
        <v>1</v>
      </c>
      <c r="Z132">
        <v>0</v>
      </c>
      <c r="AA132">
        <v>3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3</v>
      </c>
      <c r="AQ132" t="s">
        <v>145</v>
      </c>
      <c r="AR132" t="s">
        <v>145</v>
      </c>
      <c r="AS132">
        <v>4</v>
      </c>
    </row>
    <row r="133" spans="1:45" x14ac:dyDescent="0.25">
      <c r="A133">
        <v>34097</v>
      </c>
      <c r="B133" t="s">
        <v>463</v>
      </c>
      <c r="C133" s="85" t="str">
        <f>VLOOKUP(A133,ADM!$A$1:$N$343,14,0)</f>
        <v>CC Du Minervois au Caroux en Haut-Languedoc</v>
      </c>
      <c r="F133" t="s">
        <v>113</v>
      </c>
      <c r="H133">
        <v>6</v>
      </c>
      <c r="I133" t="s">
        <v>114</v>
      </c>
      <c r="J133" t="s">
        <v>114</v>
      </c>
      <c r="K133">
        <v>1.5</v>
      </c>
      <c r="L133" t="s">
        <v>114</v>
      </c>
      <c r="M133">
        <v>0</v>
      </c>
      <c r="N133">
        <v>0</v>
      </c>
      <c r="O133">
        <v>3</v>
      </c>
      <c r="P133">
        <v>0</v>
      </c>
      <c r="Q133">
        <v>0</v>
      </c>
      <c r="R133">
        <v>0</v>
      </c>
      <c r="S133">
        <v>2</v>
      </c>
      <c r="T133">
        <v>4</v>
      </c>
      <c r="U133">
        <v>0</v>
      </c>
      <c r="V133">
        <v>0</v>
      </c>
      <c r="W133">
        <v>16.666699999999999</v>
      </c>
      <c r="X133" s="1">
        <v>0.03</v>
      </c>
      <c r="Y133">
        <v>0</v>
      </c>
      <c r="Z133">
        <v>0</v>
      </c>
      <c r="AA133">
        <v>3</v>
      </c>
      <c r="AB133">
        <v>2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3</v>
      </c>
      <c r="AQ133" t="s">
        <v>145</v>
      </c>
      <c r="AR133" t="s">
        <v>365</v>
      </c>
      <c r="AS133">
        <v>4</v>
      </c>
    </row>
    <row r="134" spans="1:45" x14ac:dyDescent="0.25">
      <c r="A134">
        <v>34098</v>
      </c>
      <c r="B134" t="s">
        <v>465</v>
      </c>
      <c r="C134" s="85" t="str">
        <f>VLOOKUP(A134,ADM!$A$1:$N$343,14,0)</f>
        <v>CC Du Minervois au Caroux en Haut-Languedoc</v>
      </c>
      <c r="F134" t="s">
        <v>113</v>
      </c>
      <c r="H134">
        <v>0</v>
      </c>
      <c r="I134" t="s">
        <v>114</v>
      </c>
      <c r="J134" t="s">
        <v>114</v>
      </c>
      <c r="K134" t="s">
        <v>114</v>
      </c>
      <c r="L134" t="s">
        <v>114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1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3</v>
      </c>
      <c r="AQ134" t="s">
        <v>145</v>
      </c>
      <c r="AR134" t="s">
        <v>145</v>
      </c>
      <c r="AS134">
        <v>4</v>
      </c>
    </row>
    <row r="135" spans="1:45" x14ac:dyDescent="0.25">
      <c r="A135">
        <v>34099</v>
      </c>
      <c r="B135" t="s">
        <v>467</v>
      </c>
      <c r="C135" s="85" t="str">
        <f>VLOOKUP(A135,ADM!$A$1:$N$343,14,0)</f>
        <v>CC du Grand Pic Saint-Loup</v>
      </c>
      <c r="F135" t="s">
        <v>113</v>
      </c>
      <c r="H135">
        <v>0</v>
      </c>
      <c r="I135" t="s">
        <v>114</v>
      </c>
      <c r="J135" t="s">
        <v>114</v>
      </c>
      <c r="K135" t="s">
        <v>114</v>
      </c>
      <c r="L135" t="s">
        <v>114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1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3</v>
      </c>
      <c r="AQ135" t="s">
        <v>145</v>
      </c>
      <c r="AR135" t="s">
        <v>145</v>
      </c>
      <c r="AS135">
        <v>4</v>
      </c>
    </row>
    <row r="136" spans="1:45" x14ac:dyDescent="0.25">
      <c r="A136">
        <v>34100</v>
      </c>
      <c r="B136" t="s">
        <v>469</v>
      </c>
      <c r="C136" s="85" t="str">
        <f>VLOOKUP(A136,ADM!$A$1:$N$343,14,0)</f>
        <v>CC Du Minervois au Caroux en Haut-Languedoc</v>
      </c>
      <c r="F136" t="s">
        <v>113</v>
      </c>
      <c r="H136">
        <v>0</v>
      </c>
      <c r="I136" t="s">
        <v>114</v>
      </c>
      <c r="J136" t="s">
        <v>114</v>
      </c>
      <c r="K136" t="s">
        <v>114</v>
      </c>
      <c r="L136" t="s">
        <v>114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1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3</v>
      </c>
      <c r="AQ136" t="s">
        <v>145</v>
      </c>
      <c r="AR136" t="s">
        <v>145</v>
      </c>
      <c r="AS136">
        <v>4</v>
      </c>
    </row>
    <row r="137" spans="1:45" x14ac:dyDescent="0.25">
      <c r="A137">
        <v>34102</v>
      </c>
      <c r="B137" t="s">
        <v>476</v>
      </c>
      <c r="C137" s="85" t="str">
        <f>VLOOKUP(A137,ADM!$A$1:$N$343,14,0)</f>
        <v>CC du Grand Pic Saint-Loup</v>
      </c>
      <c r="F137" t="s">
        <v>113</v>
      </c>
      <c r="H137">
        <v>0</v>
      </c>
      <c r="I137" t="s">
        <v>114</v>
      </c>
      <c r="J137" t="s">
        <v>114</v>
      </c>
      <c r="K137" t="s">
        <v>114</v>
      </c>
      <c r="L137" t="s">
        <v>114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1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3</v>
      </c>
      <c r="AQ137" t="s">
        <v>145</v>
      </c>
      <c r="AR137" t="s">
        <v>145</v>
      </c>
      <c r="AS137">
        <v>3</v>
      </c>
    </row>
    <row r="138" spans="1:45" x14ac:dyDescent="0.25">
      <c r="A138">
        <v>34103</v>
      </c>
      <c r="B138" t="s">
        <v>478</v>
      </c>
      <c r="C138" s="85" t="str">
        <f>VLOOKUP(A138,ADM!$A$1:$N$343,14,0)</f>
        <v>CC du Clermontais</v>
      </c>
      <c r="F138" t="s">
        <v>113</v>
      </c>
      <c r="H138">
        <v>6</v>
      </c>
      <c r="I138" t="s">
        <v>114</v>
      </c>
      <c r="J138" t="s">
        <v>114</v>
      </c>
      <c r="K138" t="s">
        <v>114</v>
      </c>
      <c r="L138" t="s">
        <v>114</v>
      </c>
      <c r="M138">
        <v>0</v>
      </c>
      <c r="N138">
        <v>0</v>
      </c>
      <c r="O138">
        <v>1</v>
      </c>
      <c r="P138">
        <v>0</v>
      </c>
      <c r="Q138">
        <v>0</v>
      </c>
      <c r="R138">
        <v>0</v>
      </c>
      <c r="S138">
        <v>3</v>
      </c>
      <c r="T138">
        <v>3</v>
      </c>
      <c r="U138">
        <v>0</v>
      </c>
      <c r="V138">
        <v>0</v>
      </c>
      <c r="W138">
        <v>0</v>
      </c>
      <c r="X138" s="1">
        <v>0.01</v>
      </c>
      <c r="Y138">
        <v>4</v>
      </c>
      <c r="Z138">
        <v>1</v>
      </c>
      <c r="AA138">
        <v>2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3</v>
      </c>
      <c r="AQ138" t="s">
        <v>442</v>
      </c>
      <c r="AR138" t="s">
        <v>145</v>
      </c>
      <c r="AS138">
        <v>3</v>
      </c>
    </row>
    <row r="139" spans="1:45" x14ac:dyDescent="0.25">
      <c r="A139">
        <v>34104</v>
      </c>
      <c r="B139" t="s">
        <v>480</v>
      </c>
      <c r="C139" s="85" t="str">
        <f>VLOOKUP(A139,ADM!$A$1:$N$343,14,0)</f>
        <v>CC les Avant-Monts</v>
      </c>
      <c r="F139" t="s">
        <v>113</v>
      </c>
      <c r="H139">
        <v>0</v>
      </c>
      <c r="I139" t="s">
        <v>114</v>
      </c>
      <c r="J139" t="s">
        <v>114</v>
      </c>
      <c r="K139" t="s">
        <v>114</v>
      </c>
      <c r="L139" t="s">
        <v>114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 s="1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3</v>
      </c>
      <c r="AQ139" t="s">
        <v>145</v>
      </c>
      <c r="AR139" t="s">
        <v>145</v>
      </c>
      <c r="AS139">
        <v>4</v>
      </c>
    </row>
    <row r="140" spans="1:45" x14ac:dyDescent="0.25">
      <c r="A140">
        <v>34105</v>
      </c>
      <c r="B140" t="s">
        <v>482</v>
      </c>
      <c r="C140" s="85" t="str">
        <f>VLOOKUP(A140,ADM!$A$1:$N$343,14,0)</f>
        <v>CC les Avant-Monts</v>
      </c>
      <c r="F140" t="s">
        <v>113</v>
      </c>
      <c r="H140">
        <v>0</v>
      </c>
      <c r="I140" t="s">
        <v>114</v>
      </c>
      <c r="J140" t="s">
        <v>114</v>
      </c>
      <c r="K140" t="s">
        <v>114</v>
      </c>
      <c r="L140" t="s">
        <v>114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1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3</v>
      </c>
      <c r="AQ140" t="s">
        <v>145</v>
      </c>
      <c r="AR140" t="s">
        <v>145</v>
      </c>
      <c r="AS140">
        <v>3</v>
      </c>
    </row>
    <row r="141" spans="1:45" x14ac:dyDescent="0.25">
      <c r="A141">
        <v>34106</v>
      </c>
      <c r="B141" t="s">
        <v>484</v>
      </c>
      <c r="C141" s="85" t="str">
        <f>VLOOKUP(A141,ADM!$A$1:$N$343,14,0)</f>
        <v>CC Lodévois et Larzac</v>
      </c>
      <c r="F141" t="s">
        <v>113</v>
      </c>
      <c r="H141">
        <v>0</v>
      </c>
      <c r="I141" t="s">
        <v>114</v>
      </c>
      <c r="J141" t="s">
        <v>114</v>
      </c>
      <c r="K141" t="s">
        <v>114</v>
      </c>
      <c r="L141" t="s">
        <v>114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3</v>
      </c>
      <c r="AQ141" t="s">
        <v>145</v>
      </c>
      <c r="AR141" t="s">
        <v>145</v>
      </c>
      <c r="AS141">
        <v>3</v>
      </c>
    </row>
    <row r="142" spans="1:45" x14ac:dyDescent="0.25">
      <c r="A142">
        <v>34107</v>
      </c>
      <c r="B142" t="s">
        <v>486</v>
      </c>
      <c r="C142" s="85" t="str">
        <f>VLOOKUP(A142,ADM!$A$1:$N$343,14,0)</f>
        <v>CC des Monts de Lacaune et de la Montagne du Haut Languedoc</v>
      </c>
      <c r="F142" t="s">
        <v>113</v>
      </c>
      <c r="H142">
        <v>4</v>
      </c>
      <c r="I142" t="s">
        <v>114</v>
      </c>
      <c r="J142" t="s">
        <v>114</v>
      </c>
      <c r="K142">
        <v>1</v>
      </c>
      <c r="L142" t="s">
        <v>114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2</v>
      </c>
      <c r="T142">
        <v>2</v>
      </c>
      <c r="U142">
        <v>0</v>
      </c>
      <c r="V142">
        <v>0</v>
      </c>
      <c r="W142">
        <v>25</v>
      </c>
      <c r="X142" s="1">
        <v>0.02</v>
      </c>
      <c r="Y142">
        <v>2</v>
      </c>
      <c r="Z142">
        <v>0</v>
      </c>
      <c r="AA142">
        <v>1</v>
      </c>
      <c r="AB142">
        <v>1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3</v>
      </c>
      <c r="AQ142" t="s">
        <v>145</v>
      </c>
      <c r="AR142" t="s">
        <v>299</v>
      </c>
      <c r="AS142">
        <v>4</v>
      </c>
    </row>
    <row r="143" spans="1:45" x14ac:dyDescent="0.25">
      <c r="A143">
        <v>34109</v>
      </c>
      <c r="B143" t="s">
        <v>493</v>
      </c>
      <c r="C143" s="85" t="str">
        <f>VLOOKUP(A143,ADM!$A$1:$N$343,14,0)</f>
        <v>CC les Avant-Monts</v>
      </c>
      <c r="F143" t="s">
        <v>113</v>
      </c>
      <c r="H143">
        <v>29</v>
      </c>
      <c r="I143" t="s">
        <v>114</v>
      </c>
      <c r="J143">
        <v>4</v>
      </c>
      <c r="K143">
        <v>2</v>
      </c>
      <c r="L143" t="s">
        <v>114</v>
      </c>
      <c r="M143">
        <v>0</v>
      </c>
      <c r="N143">
        <v>4</v>
      </c>
      <c r="O143">
        <v>2</v>
      </c>
      <c r="P143">
        <v>1</v>
      </c>
      <c r="Q143">
        <v>0</v>
      </c>
      <c r="R143">
        <v>8</v>
      </c>
      <c r="S143">
        <v>11</v>
      </c>
      <c r="T143">
        <v>9</v>
      </c>
      <c r="U143">
        <v>1</v>
      </c>
      <c r="V143">
        <v>3.4483000000000001</v>
      </c>
      <c r="W143">
        <v>3.4483000000000001</v>
      </c>
      <c r="X143" s="1">
        <v>7.0000000000000007E-2</v>
      </c>
      <c r="Y143">
        <v>10</v>
      </c>
      <c r="Z143">
        <v>4</v>
      </c>
      <c r="AA143">
        <v>7</v>
      </c>
      <c r="AB143">
        <v>2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3</v>
      </c>
      <c r="AO143">
        <v>0</v>
      </c>
      <c r="AP143">
        <v>3</v>
      </c>
      <c r="AQ143" t="s">
        <v>304</v>
      </c>
      <c r="AR143" t="s">
        <v>495</v>
      </c>
      <c r="AS143">
        <v>3</v>
      </c>
    </row>
    <row r="144" spans="1:45" x14ac:dyDescent="0.25">
      <c r="A144">
        <v>34110</v>
      </c>
      <c r="B144" t="s">
        <v>496</v>
      </c>
      <c r="C144" s="85" t="str">
        <f>VLOOKUP(A144,ADM!$A$1:$N$343,14,0)</f>
        <v>CC du Pays de Lunel</v>
      </c>
      <c r="F144" t="s">
        <v>113</v>
      </c>
      <c r="H144">
        <v>0</v>
      </c>
      <c r="I144" t="s">
        <v>114</v>
      </c>
      <c r="J144" t="s">
        <v>114</v>
      </c>
      <c r="K144" t="s">
        <v>114</v>
      </c>
      <c r="L144" t="s">
        <v>114</v>
      </c>
      <c r="M144">
        <v>0</v>
      </c>
      <c r="N144">
        <v>0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1">
        <v>0</v>
      </c>
      <c r="Y144">
        <v>1</v>
      </c>
      <c r="Z144">
        <v>0</v>
      </c>
      <c r="AA144">
        <v>1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3</v>
      </c>
      <c r="AQ144" t="s">
        <v>145</v>
      </c>
      <c r="AR144" t="s">
        <v>145</v>
      </c>
      <c r="AS144">
        <v>3</v>
      </c>
    </row>
    <row r="145" spans="1:45" x14ac:dyDescent="0.25">
      <c r="A145">
        <v>34111</v>
      </c>
      <c r="B145" t="s">
        <v>498</v>
      </c>
      <c r="C145" s="85" t="str">
        <f>VLOOKUP(A145,ADM!$A$1:$N$343,14,0)</f>
        <v>CC des Cévennes Gangeoises et Suménoises</v>
      </c>
      <c r="F145" t="s">
        <v>113</v>
      </c>
      <c r="H145">
        <v>253</v>
      </c>
      <c r="I145" t="s">
        <v>114</v>
      </c>
      <c r="J145" t="s">
        <v>114</v>
      </c>
      <c r="K145">
        <v>20</v>
      </c>
      <c r="L145">
        <v>3.875</v>
      </c>
      <c r="M145">
        <v>20</v>
      </c>
      <c r="N145">
        <v>49</v>
      </c>
      <c r="O145">
        <v>40</v>
      </c>
      <c r="P145">
        <v>31</v>
      </c>
      <c r="Q145">
        <v>0</v>
      </c>
      <c r="R145">
        <v>35</v>
      </c>
      <c r="S145">
        <v>86</v>
      </c>
      <c r="T145">
        <v>108</v>
      </c>
      <c r="U145">
        <v>24</v>
      </c>
      <c r="V145">
        <v>0.4032</v>
      </c>
      <c r="W145">
        <v>4.8387000000000002</v>
      </c>
      <c r="X145" s="1">
        <v>0.12</v>
      </c>
      <c r="Y145">
        <v>142</v>
      </c>
      <c r="Z145">
        <v>31</v>
      </c>
      <c r="AA145">
        <v>146</v>
      </c>
      <c r="AB145">
        <v>10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3</v>
      </c>
      <c r="AQ145" t="s">
        <v>500</v>
      </c>
      <c r="AR145" t="s">
        <v>501</v>
      </c>
      <c r="AS145">
        <v>2</v>
      </c>
    </row>
    <row r="146" spans="1:45" x14ac:dyDescent="0.25">
      <c r="A146">
        <v>34112</v>
      </c>
      <c r="B146" t="s">
        <v>502</v>
      </c>
      <c r="C146" s="85" t="str">
        <f>VLOOKUP(A146,ADM!$A$1:$N$343,14,0)</f>
        <v>CC du Pays de Lunel</v>
      </c>
      <c r="F146" t="s">
        <v>113</v>
      </c>
      <c r="H146">
        <v>0</v>
      </c>
      <c r="I146" t="s">
        <v>114</v>
      </c>
      <c r="J146" t="s">
        <v>114</v>
      </c>
      <c r="K146" t="s">
        <v>114</v>
      </c>
      <c r="L146" t="s">
        <v>114</v>
      </c>
      <c r="M146">
        <v>0</v>
      </c>
      <c r="N146">
        <v>0</v>
      </c>
      <c r="O146">
        <v>3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1">
        <v>0</v>
      </c>
      <c r="Y146">
        <v>1</v>
      </c>
      <c r="Z146">
        <v>0</v>
      </c>
      <c r="AA146">
        <v>3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3</v>
      </c>
      <c r="AQ146" t="s">
        <v>145</v>
      </c>
      <c r="AR146" t="s">
        <v>145</v>
      </c>
      <c r="AS146">
        <v>4</v>
      </c>
    </row>
    <row r="147" spans="1:45" x14ac:dyDescent="0.25">
      <c r="A147">
        <v>34114</v>
      </c>
      <c r="B147" t="s">
        <v>509</v>
      </c>
      <c r="C147" s="85" t="str">
        <f>VLOOKUP(A147,ADM!$A$1:$N$343,14,0)</f>
        <v>CC Vallée de l'hérault</v>
      </c>
      <c r="F147" t="s">
        <v>113</v>
      </c>
      <c r="H147">
        <v>320</v>
      </c>
      <c r="I147" t="s">
        <v>114</v>
      </c>
      <c r="J147">
        <v>12.25</v>
      </c>
      <c r="K147">
        <v>8.375</v>
      </c>
      <c r="L147">
        <v>7.4444444440000002</v>
      </c>
      <c r="M147">
        <v>13</v>
      </c>
      <c r="N147">
        <v>49</v>
      </c>
      <c r="O147">
        <v>67</v>
      </c>
      <c r="P147">
        <v>67</v>
      </c>
      <c r="Q147">
        <v>3</v>
      </c>
      <c r="R147">
        <v>38</v>
      </c>
      <c r="S147">
        <v>99</v>
      </c>
      <c r="T147">
        <v>141</v>
      </c>
      <c r="U147">
        <v>39</v>
      </c>
      <c r="V147">
        <v>1.2739</v>
      </c>
      <c r="W147">
        <v>7.3247999999999998</v>
      </c>
      <c r="X147" s="1">
        <v>0.12</v>
      </c>
      <c r="Y147">
        <v>228</v>
      </c>
      <c r="Z147">
        <v>57</v>
      </c>
      <c r="AA147">
        <v>216</v>
      </c>
      <c r="AB147">
        <v>21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3</v>
      </c>
      <c r="AQ147" t="s">
        <v>442</v>
      </c>
      <c r="AR147" t="s">
        <v>511</v>
      </c>
      <c r="AS147">
        <v>2</v>
      </c>
    </row>
    <row r="148" spans="1:45" x14ac:dyDescent="0.25">
      <c r="A148">
        <v>34115</v>
      </c>
      <c r="B148" t="s">
        <v>512</v>
      </c>
      <c r="C148" s="85" t="str">
        <f>VLOOKUP(A148,ADM!$A$1:$N$343,14,0)</f>
        <v>CC des Cévennes Gangeoises et Suménoises</v>
      </c>
      <c r="F148" t="s">
        <v>113</v>
      </c>
      <c r="H148">
        <v>0</v>
      </c>
      <c r="I148" t="s">
        <v>114</v>
      </c>
      <c r="J148" t="s">
        <v>114</v>
      </c>
      <c r="K148" t="s">
        <v>114</v>
      </c>
      <c r="L148" t="s">
        <v>114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1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3</v>
      </c>
      <c r="AQ148" t="s">
        <v>145</v>
      </c>
      <c r="AR148" t="s">
        <v>145</v>
      </c>
      <c r="AS148">
        <v>4</v>
      </c>
    </row>
    <row r="149" spans="1:45" x14ac:dyDescent="0.25">
      <c r="A149">
        <v>34117</v>
      </c>
      <c r="B149" t="s">
        <v>521</v>
      </c>
      <c r="C149" s="85" t="str">
        <f>VLOOKUP(A149,ADM!$A$1:$N$343,14,0)</f>
        <v>CC Grand Orb en Languedoc</v>
      </c>
      <c r="F149" t="s">
        <v>113</v>
      </c>
      <c r="H149">
        <v>16</v>
      </c>
      <c r="I149" t="s">
        <v>114</v>
      </c>
      <c r="J149" t="s">
        <v>114</v>
      </c>
      <c r="K149">
        <v>0</v>
      </c>
      <c r="L149" t="s">
        <v>114</v>
      </c>
      <c r="Q149">
        <v>0</v>
      </c>
      <c r="R149">
        <v>0</v>
      </c>
      <c r="S149">
        <v>3</v>
      </c>
      <c r="T149">
        <v>12</v>
      </c>
      <c r="U149">
        <v>1</v>
      </c>
      <c r="V149">
        <v>25</v>
      </c>
      <c r="W149">
        <v>12.5</v>
      </c>
      <c r="X149" s="1">
        <v>0.04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3</v>
      </c>
      <c r="AQ149" t="s">
        <v>145</v>
      </c>
      <c r="AR149" t="s">
        <v>145</v>
      </c>
      <c r="AS149">
        <v>4</v>
      </c>
    </row>
    <row r="150" spans="1:45" x14ac:dyDescent="0.25">
      <c r="A150">
        <v>34118</v>
      </c>
      <c r="B150" t="s">
        <v>523</v>
      </c>
      <c r="C150" s="85" t="str">
        <f>VLOOKUP(A150,ADM!$A$1:$N$343,14,0)</f>
        <v>CC du Grand Pic Saint-Loup</v>
      </c>
      <c r="F150" t="s">
        <v>113</v>
      </c>
      <c r="H150">
        <v>0</v>
      </c>
      <c r="I150" t="s">
        <v>114</v>
      </c>
      <c r="J150" t="s">
        <v>114</v>
      </c>
      <c r="K150" t="s">
        <v>114</v>
      </c>
      <c r="L150" t="s">
        <v>114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 s="1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3</v>
      </c>
      <c r="AQ150" t="s">
        <v>145</v>
      </c>
      <c r="AR150" t="s">
        <v>145</v>
      </c>
      <c r="AS150">
        <v>2</v>
      </c>
    </row>
    <row r="151" spans="1:45" x14ac:dyDescent="0.25">
      <c r="A151">
        <v>34119</v>
      </c>
      <c r="B151" t="s">
        <v>525</v>
      </c>
      <c r="C151" s="85" t="str">
        <f>VLOOKUP(A151,ADM!$A$1:$N$343,14,0)</f>
        <v>CC Grand Orb en Languedoc</v>
      </c>
      <c r="F151" t="s">
        <v>113</v>
      </c>
      <c r="H151">
        <v>47</v>
      </c>
      <c r="I151" t="s">
        <v>114</v>
      </c>
      <c r="J151" t="s">
        <v>114</v>
      </c>
      <c r="K151">
        <v>1.3333333329999999</v>
      </c>
      <c r="L151">
        <v>0.77777777800000003</v>
      </c>
      <c r="M151">
        <v>1</v>
      </c>
      <c r="N151">
        <v>15</v>
      </c>
      <c r="O151">
        <v>16</v>
      </c>
      <c r="P151">
        <v>7</v>
      </c>
      <c r="Q151">
        <v>0</v>
      </c>
      <c r="R151">
        <v>2</v>
      </c>
      <c r="S151">
        <v>26</v>
      </c>
      <c r="T151">
        <v>17</v>
      </c>
      <c r="U151">
        <v>2</v>
      </c>
      <c r="V151">
        <v>0</v>
      </c>
      <c r="W151">
        <v>7.1429</v>
      </c>
      <c r="X151" s="1">
        <v>0.06</v>
      </c>
      <c r="Y151">
        <v>55</v>
      </c>
      <c r="Z151">
        <v>15</v>
      </c>
      <c r="AA151">
        <v>42</v>
      </c>
      <c r="AB151">
        <v>21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3</v>
      </c>
      <c r="AQ151" t="s">
        <v>527</v>
      </c>
      <c r="AR151" t="s">
        <v>292</v>
      </c>
      <c r="AS151">
        <v>3</v>
      </c>
    </row>
    <row r="152" spans="1:45" x14ac:dyDescent="0.25">
      <c r="A152">
        <v>34121</v>
      </c>
      <c r="B152" t="s">
        <v>533</v>
      </c>
      <c r="C152" s="85" t="str">
        <f>VLOOKUP(A152,ADM!$A$1:$N$343,14,0)</f>
        <v>CC Grand Orb en Languedoc</v>
      </c>
      <c r="F152" t="s">
        <v>113</v>
      </c>
      <c r="H152">
        <v>0</v>
      </c>
      <c r="I152" t="s">
        <v>114</v>
      </c>
      <c r="J152" t="s">
        <v>114</v>
      </c>
      <c r="K152" t="s">
        <v>114</v>
      </c>
      <c r="L152" t="s">
        <v>114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1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3</v>
      </c>
      <c r="AQ152" t="s">
        <v>145</v>
      </c>
      <c r="AR152" t="s">
        <v>145</v>
      </c>
      <c r="AS152">
        <v>4</v>
      </c>
    </row>
    <row r="153" spans="1:45" x14ac:dyDescent="0.25">
      <c r="A153">
        <v>34122</v>
      </c>
      <c r="B153" t="s">
        <v>535</v>
      </c>
      <c r="C153" s="85" t="str">
        <f>VLOOKUP(A153,ADM!$A$1:$N$343,14,0)</f>
        <v>CC Vallée de l'hérault</v>
      </c>
      <c r="F153" t="s">
        <v>113</v>
      </c>
      <c r="H153">
        <v>0</v>
      </c>
      <c r="I153" t="s">
        <v>114</v>
      </c>
      <c r="J153" t="s">
        <v>114</v>
      </c>
      <c r="K153" t="s">
        <v>114</v>
      </c>
      <c r="L153" t="s">
        <v>114</v>
      </c>
      <c r="M153">
        <v>2</v>
      </c>
      <c r="N153">
        <v>4</v>
      </c>
      <c r="O153">
        <v>7</v>
      </c>
      <c r="P153">
        <v>4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1">
        <v>0</v>
      </c>
      <c r="Y153">
        <v>13</v>
      </c>
      <c r="Z153">
        <v>0</v>
      </c>
      <c r="AA153">
        <v>17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3</v>
      </c>
      <c r="AQ153" t="s">
        <v>145</v>
      </c>
      <c r="AR153" t="s">
        <v>145</v>
      </c>
      <c r="AS153">
        <v>3</v>
      </c>
    </row>
    <row r="154" spans="1:45" x14ac:dyDescent="0.25">
      <c r="A154">
        <v>34124</v>
      </c>
      <c r="B154" t="s">
        <v>544</v>
      </c>
      <c r="C154" s="85" t="str">
        <f>VLOOKUP(A154,ADM!$A$1:$N$343,14,0)</f>
        <v>CC du Clermontais</v>
      </c>
      <c r="F154" t="s">
        <v>113</v>
      </c>
      <c r="H154">
        <v>0</v>
      </c>
      <c r="I154" t="s">
        <v>114</v>
      </c>
      <c r="J154" t="s">
        <v>114</v>
      </c>
      <c r="K154" t="s">
        <v>114</v>
      </c>
      <c r="L154" t="s">
        <v>114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1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3</v>
      </c>
      <c r="AQ154" t="s">
        <v>145</v>
      </c>
      <c r="AR154" t="s">
        <v>145</v>
      </c>
      <c r="AS154">
        <v>2</v>
      </c>
    </row>
    <row r="155" spans="1:45" x14ac:dyDescent="0.25">
      <c r="A155">
        <v>34125</v>
      </c>
      <c r="B155" t="s">
        <v>546</v>
      </c>
      <c r="C155" s="85" t="str">
        <f>VLOOKUP(A155,ADM!$A$1:$N$343,14,0)</f>
        <v>CC Vallée de l'hérault</v>
      </c>
      <c r="F155" t="s">
        <v>113</v>
      </c>
      <c r="H155">
        <v>0</v>
      </c>
      <c r="I155" t="s">
        <v>114</v>
      </c>
      <c r="J155" t="s">
        <v>114</v>
      </c>
      <c r="K155" t="s">
        <v>114</v>
      </c>
      <c r="L155" t="s">
        <v>114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1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3</v>
      </c>
      <c r="AQ155" t="s">
        <v>145</v>
      </c>
      <c r="AR155" t="s">
        <v>145</v>
      </c>
      <c r="AS155">
        <v>3</v>
      </c>
    </row>
    <row r="156" spans="1:45" x14ac:dyDescent="0.25">
      <c r="A156">
        <v>34126</v>
      </c>
      <c r="B156" t="s">
        <v>548</v>
      </c>
      <c r="C156" s="85" t="str">
        <f>VLOOKUP(A156,ADM!$A$1:$N$343,14,0)</f>
        <v>CC Grand Orb en Languedoc</v>
      </c>
      <c r="F156" t="s">
        <v>113</v>
      </c>
      <c r="H156">
        <v>17</v>
      </c>
      <c r="I156" t="s">
        <v>114</v>
      </c>
      <c r="J156" t="s">
        <v>114</v>
      </c>
      <c r="K156" t="s">
        <v>114</v>
      </c>
      <c r="L156">
        <v>1</v>
      </c>
      <c r="M156">
        <v>4</v>
      </c>
      <c r="N156">
        <v>5</v>
      </c>
      <c r="O156">
        <v>8</v>
      </c>
      <c r="P156">
        <v>2</v>
      </c>
      <c r="Q156">
        <v>0</v>
      </c>
      <c r="R156">
        <v>0</v>
      </c>
      <c r="S156">
        <v>8</v>
      </c>
      <c r="T156">
        <v>9</v>
      </c>
      <c r="U156">
        <v>0</v>
      </c>
      <c r="V156">
        <v>5.8823999999999996</v>
      </c>
      <c r="W156">
        <v>11.764699999999999</v>
      </c>
      <c r="X156" s="1">
        <v>0.02</v>
      </c>
      <c r="Y156">
        <v>22</v>
      </c>
      <c r="Z156">
        <v>1</v>
      </c>
      <c r="AA156">
        <v>19</v>
      </c>
      <c r="AB156">
        <v>2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3</v>
      </c>
      <c r="AQ156" t="s">
        <v>550</v>
      </c>
      <c r="AR156" t="s">
        <v>551</v>
      </c>
      <c r="AS156">
        <v>3</v>
      </c>
    </row>
    <row r="157" spans="1:45" x14ac:dyDescent="0.25">
      <c r="A157">
        <v>34127</v>
      </c>
      <c r="B157" t="s">
        <v>552</v>
      </c>
      <c r="C157" s="85" t="str">
        <f>VLOOKUP(A157,ADM!$A$1:$N$343,14,0)</f>
        <v>CA du Pays de l'Or</v>
      </c>
      <c r="F157" t="s">
        <v>113</v>
      </c>
      <c r="H157">
        <v>53</v>
      </c>
      <c r="I157" t="s">
        <v>114</v>
      </c>
      <c r="J157">
        <v>14</v>
      </c>
      <c r="K157">
        <v>14</v>
      </c>
      <c r="L157">
        <v>4</v>
      </c>
      <c r="M157">
        <v>2</v>
      </c>
      <c r="N157">
        <v>14</v>
      </c>
      <c r="O157">
        <v>14</v>
      </c>
      <c r="P157">
        <v>12</v>
      </c>
      <c r="Q157">
        <v>0</v>
      </c>
      <c r="R157">
        <v>19</v>
      </c>
      <c r="S157">
        <v>26</v>
      </c>
      <c r="T157">
        <v>8</v>
      </c>
      <c r="U157">
        <v>0</v>
      </c>
      <c r="V157">
        <v>0</v>
      </c>
      <c r="W157">
        <v>9.8039000000000005</v>
      </c>
      <c r="X157" s="1">
        <v>0.04</v>
      </c>
      <c r="Y157">
        <v>42</v>
      </c>
      <c r="Z157">
        <v>6</v>
      </c>
      <c r="AA157">
        <v>49</v>
      </c>
      <c r="AB157">
        <v>5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3</v>
      </c>
      <c r="AQ157" t="s">
        <v>554</v>
      </c>
      <c r="AR157" t="s">
        <v>555</v>
      </c>
      <c r="AS157">
        <v>1</v>
      </c>
    </row>
    <row r="158" spans="1:45" x14ac:dyDescent="0.25">
      <c r="A158">
        <v>34128</v>
      </c>
      <c r="B158" t="s">
        <v>556</v>
      </c>
      <c r="C158" s="85" t="str">
        <f>VLOOKUP(A158,ADM!$A$1:$N$343,14,0)</f>
        <v>CC des Cévennes Gangeoises et Suménoises</v>
      </c>
      <c r="F158" t="s">
        <v>113</v>
      </c>
      <c r="H158">
        <v>0</v>
      </c>
      <c r="I158" t="s">
        <v>114</v>
      </c>
      <c r="J158" t="s">
        <v>114</v>
      </c>
      <c r="K158" t="s">
        <v>114</v>
      </c>
      <c r="L158" t="s">
        <v>114</v>
      </c>
      <c r="M158">
        <v>0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 s="1">
        <v>0</v>
      </c>
      <c r="Y158">
        <v>1</v>
      </c>
      <c r="Z158">
        <v>0</v>
      </c>
      <c r="AA158">
        <v>1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3</v>
      </c>
      <c r="AQ158" t="s">
        <v>145</v>
      </c>
      <c r="AR158" t="s">
        <v>145</v>
      </c>
      <c r="AS158">
        <v>2</v>
      </c>
    </row>
    <row r="159" spans="1:45" x14ac:dyDescent="0.25">
      <c r="A159">
        <v>34130</v>
      </c>
      <c r="B159" t="s">
        <v>562</v>
      </c>
      <c r="C159" s="85" t="str">
        <f>VLOOKUP(A159,ADM!$A$1:$N$343,14,0)</f>
        <v>CC les Avant-Monts</v>
      </c>
      <c r="F159" t="s">
        <v>113</v>
      </c>
      <c r="H159">
        <v>0</v>
      </c>
      <c r="I159" t="s">
        <v>114</v>
      </c>
      <c r="J159" t="s">
        <v>114</v>
      </c>
      <c r="K159" t="s">
        <v>114</v>
      </c>
      <c r="L159" t="s">
        <v>114</v>
      </c>
      <c r="M159">
        <v>0</v>
      </c>
      <c r="N159">
        <v>0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1">
        <v>0</v>
      </c>
      <c r="Y159">
        <v>2</v>
      </c>
      <c r="Z159">
        <v>0</v>
      </c>
      <c r="AA159">
        <v>1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3</v>
      </c>
      <c r="AQ159" t="s">
        <v>145</v>
      </c>
      <c r="AR159" t="s">
        <v>145</v>
      </c>
      <c r="AS159">
        <v>3</v>
      </c>
    </row>
    <row r="160" spans="1:45" x14ac:dyDescent="0.25">
      <c r="A160">
        <v>34131</v>
      </c>
      <c r="B160" t="s">
        <v>564</v>
      </c>
      <c r="C160" s="85" t="str">
        <f>VLOOKUP(A160,ADM!$A$1:$N$343,14,0)</f>
        <v>CC du Grand Pic Saint-Loup</v>
      </c>
      <c r="F160" t="s">
        <v>113</v>
      </c>
      <c r="H160">
        <v>8</v>
      </c>
      <c r="I160" t="s">
        <v>114</v>
      </c>
      <c r="J160" t="s">
        <v>114</v>
      </c>
      <c r="K160" t="s">
        <v>114</v>
      </c>
      <c r="L160" t="s">
        <v>114</v>
      </c>
      <c r="M160">
        <v>0</v>
      </c>
      <c r="N160">
        <v>2</v>
      </c>
      <c r="O160">
        <v>3</v>
      </c>
      <c r="P160">
        <v>1</v>
      </c>
      <c r="Q160">
        <v>0</v>
      </c>
      <c r="R160">
        <v>2</v>
      </c>
      <c r="S160">
        <v>6</v>
      </c>
      <c r="T160">
        <v>0</v>
      </c>
      <c r="U160">
        <v>0</v>
      </c>
      <c r="V160">
        <v>0</v>
      </c>
      <c r="W160">
        <v>0</v>
      </c>
      <c r="X160" s="1">
        <v>0.03</v>
      </c>
      <c r="Y160">
        <v>10</v>
      </c>
      <c r="Z160">
        <v>0</v>
      </c>
      <c r="AA160">
        <v>7</v>
      </c>
      <c r="AB160">
        <v>0</v>
      </c>
      <c r="AC160">
        <v>0</v>
      </c>
      <c r="AD160">
        <v>5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10</v>
      </c>
      <c r="AO160">
        <v>0</v>
      </c>
      <c r="AP160">
        <v>3</v>
      </c>
      <c r="AQ160" t="s">
        <v>145</v>
      </c>
      <c r="AR160" t="s">
        <v>145</v>
      </c>
      <c r="AS160">
        <v>3</v>
      </c>
    </row>
    <row r="161" spans="1:45" x14ac:dyDescent="0.25">
      <c r="A161">
        <v>34132</v>
      </c>
      <c r="B161" t="s">
        <v>566</v>
      </c>
      <c r="C161" s="85" t="str">
        <f>VLOOKUP(A161,ADM!$A$1:$N$343,14,0)</f>
        <v>CC Lodévois et Larzac</v>
      </c>
      <c r="F161" t="s">
        <v>113</v>
      </c>
      <c r="H161">
        <v>0</v>
      </c>
      <c r="I161" t="s">
        <v>114</v>
      </c>
      <c r="J161" t="s">
        <v>114</v>
      </c>
      <c r="K161" t="s">
        <v>114</v>
      </c>
      <c r="L161" t="s">
        <v>114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3</v>
      </c>
      <c r="AQ161" t="s">
        <v>145</v>
      </c>
      <c r="AR161" t="s">
        <v>145</v>
      </c>
      <c r="AS161">
        <v>4</v>
      </c>
    </row>
    <row r="162" spans="1:45" x14ac:dyDescent="0.25">
      <c r="A162">
        <v>34133</v>
      </c>
      <c r="B162" t="s">
        <v>568</v>
      </c>
      <c r="C162" s="85" t="str">
        <f>VLOOKUP(A162,ADM!$A$1:$N$343,14,0)</f>
        <v>CC Lodévois et Larzac</v>
      </c>
      <c r="F162" t="s">
        <v>113</v>
      </c>
      <c r="H162">
        <v>0</v>
      </c>
      <c r="I162" t="s">
        <v>114</v>
      </c>
      <c r="J162" t="s">
        <v>114</v>
      </c>
      <c r="K162" t="s">
        <v>114</v>
      </c>
      <c r="L162" t="s">
        <v>114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 s="1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3</v>
      </c>
      <c r="AQ162" t="s">
        <v>145</v>
      </c>
      <c r="AR162" t="s">
        <v>145</v>
      </c>
      <c r="AS162">
        <v>4</v>
      </c>
    </row>
    <row r="163" spans="1:45" x14ac:dyDescent="0.25">
      <c r="A163">
        <v>34134</v>
      </c>
      <c r="B163" t="s">
        <v>570</v>
      </c>
      <c r="C163" s="85" t="str">
        <f>VLOOKUP(A163,ADM!$A$1:$N$343,14,0)</f>
        <v>Montpellier Méditerranée Métropole</v>
      </c>
      <c r="F163" t="s">
        <v>113</v>
      </c>
      <c r="H163">
        <v>155</v>
      </c>
      <c r="I163" t="s">
        <v>114</v>
      </c>
      <c r="J163">
        <v>38</v>
      </c>
      <c r="K163">
        <v>11.66666667</v>
      </c>
      <c r="L163">
        <v>19</v>
      </c>
      <c r="M163">
        <v>6</v>
      </c>
      <c r="N163">
        <v>38</v>
      </c>
      <c r="O163">
        <v>35</v>
      </c>
      <c r="P163">
        <v>19</v>
      </c>
      <c r="Q163">
        <v>0</v>
      </c>
      <c r="R163">
        <v>30</v>
      </c>
      <c r="S163">
        <v>73</v>
      </c>
      <c r="T163">
        <v>49</v>
      </c>
      <c r="U163">
        <v>3</v>
      </c>
      <c r="V163">
        <v>0</v>
      </c>
      <c r="W163">
        <v>3.8961000000000001</v>
      </c>
      <c r="X163" s="1">
        <v>0.11</v>
      </c>
      <c r="Y163">
        <v>119</v>
      </c>
      <c r="Z163">
        <v>8</v>
      </c>
      <c r="AA163">
        <v>111</v>
      </c>
      <c r="AB163">
        <v>5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62</v>
      </c>
      <c r="AM163">
        <v>0</v>
      </c>
      <c r="AN163">
        <v>0</v>
      </c>
      <c r="AO163">
        <v>0</v>
      </c>
      <c r="AP163">
        <v>3</v>
      </c>
      <c r="AQ163" t="s">
        <v>572</v>
      </c>
      <c r="AR163" t="s">
        <v>573</v>
      </c>
      <c r="AS163">
        <v>1</v>
      </c>
    </row>
    <row r="164" spans="1:45" x14ac:dyDescent="0.25">
      <c r="A164">
        <v>34135</v>
      </c>
      <c r="B164" t="s">
        <v>574</v>
      </c>
      <c r="C164" s="85" t="str">
        <f>VLOOKUP(A164,ADM!$A$1:$N$343,14,0)</f>
        <v>CC la Domitienne</v>
      </c>
      <c r="F164" t="s">
        <v>113</v>
      </c>
      <c r="H164">
        <v>91</v>
      </c>
      <c r="I164" t="s">
        <v>114</v>
      </c>
      <c r="J164">
        <v>3.6666666669999999</v>
      </c>
      <c r="K164">
        <v>6.5</v>
      </c>
      <c r="L164">
        <v>10</v>
      </c>
      <c r="M164">
        <v>2</v>
      </c>
      <c r="N164">
        <v>11</v>
      </c>
      <c r="O164">
        <v>13</v>
      </c>
      <c r="P164">
        <v>10</v>
      </c>
      <c r="Q164">
        <v>0</v>
      </c>
      <c r="R164">
        <v>23</v>
      </c>
      <c r="S164">
        <v>37</v>
      </c>
      <c r="T164">
        <v>24</v>
      </c>
      <c r="U164">
        <v>7</v>
      </c>
      <c r="V164">
        <v>2.1978</v>
      </c>
      <c r="W164">
        <v>7.6923000000000004</v>
      </c>
      <c r="X164" s="1">
        <v>0.06</v>
      </c>
      <c r="Y164">
        <v>49</v>
      </c>
      <c r="Z164">
        <v>11</v>
      </c>
      <c r="AA164">
        <v>36</v>
      </c>
      <c r="AB164">
        <v>6</v>
      </c>
      <c r="AC164">
        <v>0</v>
      </c>
      <c r="AD164">
        <v>11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19</v>
      </c>
      <c r="AO164">
        <v>0</v>
      </c>
      <c r="AP164">
        <v>3</v>
      </c>
      <c r="AQ164" t="s">
        <v>578</v>
      </c>
      <c r="AR164" t="s">
        <v>579</v>
      </c>
      <c r="AS164">
        <v>1</v>
      </c>
    </row>
    <row r="165" spans="1:45" x14ac:dyDescent="0.25">
      <c r="A165">
        <v>34136</v>
      </c>
      <c r="B165" t="s">
        <v>580</v>
      </c>
      <c r="C165" s="85" t="str">
        <f>VLOOKUP(A165,ADM!$A$1:$N$343,14,0)</f>
        <v>CA Hérault-Méditerranée</v>
      </c>
      <c r="F165" t="s">
        <v>113</v>
      </c>
      <c r="H165">
        <v>30</v>
      </c>
      <c r="I165" t="s">
        <v>114</v>
      </c>
      <c r="J165" t="s">
        <v>114</v>
      </c>
      <c r="K165" t="s">
        <v>114</v>
      </c>
      <c r="L165">
        <v>5</v>
      </c>
      <c r="M165">
        <v>2</v>
      </c>
      <c r="N165">
        <v>2</v>
      </c>
      <c r="O165">
        <v>11</v>
      </c>
      <c r="P165">
        <v>10</v>
      </c>
      <c r="Q165">
        <v>0</v>
      </c>
      <c r="R165">
        <v>0</v>
      </c>
      <c r="S165">
        <v>13</v>
      </c>
      <c r="T165">
        <v>17</v>
      </c>
      <c r="U165">
        <v>0</v>
      </c>
      <c r="V165">
        <v>0</v>
      </c>
      <c r="W165">
        <v>7.1429</v>
      </c>
      <c r="X165" s="1">
        <v>0.05</v>
      </c>
      <c r="Y165">
        <v>23</v>
      </c>
      <c r="Z165">
        <v>1</v>
      </c>
      <c r="AA165">
        <v>26</v>
      </c>
      <c r="AB165">
        <v>2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3</v>
      </c>
      <c r="AQ165" t="s">
        <v>582</v>
      </c>
      <c r="AR165" t="s">
        <v>389</v>
      </c>
      <c r="AS165">
        <v>2</v>
      </c>
    </row>
    <row r="166" spans="1:45" x14ac:dyDescent="0.25">
      <c r="A166">
        <v>34137</v>
      </c>
      <c r="B166" t="s">
        <v>583</v>
      </c>
      <c r="C166" s="85" t="str">
        <f>VLOOKUP(A166,ADM!$A$1:$N$343,14,0)</f>
        <v>CC du Clermontais</v>
      </c>
      <c r="F166" t="s">
        <v>113</v>
      </c>
      <c r="H166">
        <v>0</v>
      </c>
      <c r="I166" t="s">
        <v>114</v>
      </c>
      <c r="J166" t="s">
        <v>114</v>
      </c>
      <c r="K166" t="s">
        <v>114</v>
      </c>
      <c r="L166" t="s">
        <v>114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 s="1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3</v>
      </c>
      <c r="AQ166" t="s">
        <v>145</v>
      </c>
      <c r="AR166" t="s">
        <v>145</v>
      </c>
      <c r="AS166">
        <v>4</v>
      </c>
    </row>
    <row r="167" spans="1:45" x14ac:dyDescent="0.25">
      <c r="A167">
        <v>34138</v>
      </c>
      <c r="B167" t="s">
        <v>585</v>
      </c>
      <c r="C167" s="85" t="str">
        <f>VLOOKUP(A167,ADM!$A$1:$N$343,14,0)</f>
        <v>CC du Clermontais</v>
      </c>
      <c r="F167" t="s">
        <v>113</v>
      </c>
      <c r="H167">
        <v>0</v>
      </c>
      <c r="I167" t="s">
        <v>114</v>
      </c>
      <c r="J167" t="s">
        <v>114</v>
      </c>
      <c r="K167" t="s">
        <v>114</v>
      </c>
      <c r="L167" t="s">
        <v>114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 s="1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3</v>
      </c>
      <c r="AQ167" t="s">
        <v>145</v>
      </c>
      <c r="AR167" t="s">
        <v>145</v>
      </c>
      <c r="AS167">
        <v>3</v>
      </c>
    </row>
    <row r="168" spans="1:45" x14ac:dyDescent="0.25">
      <c r="A168">
        <v>34139</v>
      </c>
      <c r="B168" t="s">
        <v>587</v>
      </c>
      <c r="C168" s="85" t="str">
        <f>VLOOKUP(A168,ADM!$A$1:$N$343,14,0)</f>
        <v>CA de Béziers-Méditerranée</v>
      </c>
      <c r="F168" t="s">
        <v>113</v>
      </c>
      <c r="H168">
        <v>7</v>
      </c>
      <c r="I168" t="s">
        <v>114</v>
      </c>
      <c r="J168" t="s">
        <v>114</v>
      </c>
      <c r="K168" t="s">
        <v>114</v>
      </c>
      <c r="L168" t="s">
        <v>114</v>
      </c>
      <c r="M168">
        <v>0</v>
      </c>
      <c r="N168">
        <v>2</v>
      </c>
      <c r="O168">
        <v>2</v>
      </c>
      <c r="P168">
        <v>3</v>
      </c>
      <c r="Q168">
        <v>0</v>
      </c>
      <c r="R168">
        <v>2</v>
      </c>
      <c r="S168">
        <v>2</v>
      </c>
      <c r="T168">
        <v>3</v>
      </c>
      <c r="U168">
        <v>0</v>
      </c>
      <c r="V168">
        <v>0</v>
      </c>
      <c r="W168">
        <v>0</v>
      </c>
      <c r="X168" s="1">
        <v>0.01</v>
      </c>
      <c r="Y168">
        <v>5</v>
      </c>
      <c r="Z168">
        <v>6</v>
      </c>
      <c r="AA168">
        <v>7</v>
      </c>
      <c r="AB168">
        <v>0</v>
      </c>
      <c r="AC168">
        <v>0</v>
      </c>
      <c r="AD168">
        <v>5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12</v>
      </c>
      <c r="AO168">
        <v>0</v>
      </c>
      <c r="AP168">
        <v>3</v>
      </c>
      <c r="AQ168" t="s">
        <v>589</v>
      </c>
      <c r="AR168" t="s">
        <v>145</v>
      </c>
      <c r="AS168">
        <v>2</v>
      </c>
    </row>
    <row r="169" spans="1:45" x14ac:dyDescent="0.25">
      <c r="A169">
        <v>34140</v>
      </c>
      <c r="B169" t="s">
        <v>590</v>
      </c>
      <c r="C169" s="85" t="str">
        <f>VLOOKUP(A169,ADM!$A$1:$N$343,14,0)</f>
        <v>CA de Béziers-Méditerranée</v>
      </c>
      <c r="F169" t="s">
        <v>113</v>
      </c>
      <c r="H169">
        <v>26</v>
      </c>
      <c r="I169" t="s">
        <v>114</v>
      </c>
      <c r="J169" t="s">
        <v>114</v>
      </c>
      <c r="K169" t="s">
        <v>114</v>
      </c>
      <c r="L169">
        <v>5.5</v>
      </c>
      <c r="M169">
        <v>1</v>
      </c>
      <c r="N169">
        <v>11</v>
      </c>
      <c r="O169">
        <v>19</v>
      </c>
      <c r="P169">
        <v>11</v>
      </c>
      <c r="Q169">
        <v>0</v>
      </c>
      <c r="R169">
        <v>0</v>
      </c>
      <c r="S169">
        <v>7</v>
      </c>
      <c r="T169">
        <v>17</v>
      </c>
      <c r="U169">
        <v>2</v>
      </c>
      <c r="V169">
        <v>3.8462000000000001</v>
      </c>
      <c r="W169">
        <v>7.6923000000000004</v>
      </c>
      <c r="X169" s="1">
        <v>0.02</v>
      </c>
      <c r="Y169">
        <v>48</v>
      </c>
      <c r="Z169">
        <v>0</v>
      </c>
      <c r="AA169">
        <v>47</v>
      </c>
      <c r="AB169">
        <v>2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3</v>
      </c>
      <c r="AQ169" t="s">
        <v>145</v>
      </c>
      <c r="AR169" t="s">
        <v>592</v>
      </c>
      <c r="AS169">
        <v>1</v>
      </c>
    </row>
    <row r="170" spans="1:45" x14ac:dyDescent="0.25">
      <c r="A170">
        <v>34141</v>
      </c>
      <c r="B170" t="s">
        <v>593</v>
      </c>
      <c r="C170" s="85" t="str">
        <f>VLOOKUP(A170,ADM!$A$1:$N$343,14,0)</f>
        <v>CC Du Minervois au Caroux en Haut-Languedoc</v>
      </c>
      <c r="F170" t="s">
        <v>113</v>
      </c>
      <c r="H170">
        <v>17</v>
      </c>
      <c r="I170" t="s">
        <v>114</v>
      </c>
      <c r="J170" t="s">
        <v>114</v>
      </c>
      <c r="K170" t="s">
        <v>114</v>
      </c>
      <c r="L170" t="s">
        <v>114</v>
      </c>
      <c r="Q170">
        <v>0</v>
      </c>
      <c r="R170">
        <v>0</v>
      </c>
      <c r="S170">
        <v>0</v>
      </c>
      <c r="T170">
        <v>10</v>
      </c>
      <c r="U170">
        <v>7</v>
      </c>
      <c r="V170">
        <v>0</v>
      </c>
      <c r="W170">
        <v>0</v>
      </c>
      <c r="X170" s="1">
        <v>7.0000000000000007E-2</v>
      </c>
      <c r="Y170">
        <v>2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3</v>
      </c>
      <c r="AQ170" t="s">
        <v>145</v>
      </c>
      <c r="AR170" t="s">
        <v>145</v>
      </c>
      <c r="AS170">
        <v>4</v>
      </c>
    </row>
    <row r="171" spans="1:45" x14ac:dyDescent="0.25">
      <c r="A171">
        <v>34142</v>
      </c>
      <c r="B171" t="s">
        <v>449</v>
      </c>
      <c r="C171" s="85" t="str">
        <f>VLOOKUP(A171,ADM!$A$1:$N$343,14,0)</f>
        <v>CC Lodévois et Larzac</v>
      </c>
      <c r="F171" t="s">
        <v>113</v>
      </c>
      <c r="H171">
        <v>501</v>
      </c>
      <c r="I171">
        <v>16</v>
      </c>
      <c r="J171" t="s">
        <v>114</v>
      </c>
      <c r="K171">
        <v>8.1666666669999994</v>
      </c>
      <c r="L171">
        <v>3.4</v>
      </c>
      <c r="M171">
        <v>16</v>
      </c>
      <c r="N171">
        <v>29</v>
      </c>
      <c r="O171">
        <v>49</v>
      </c>
      <c r="P171">
        <v>51</v>
      </c>
      <c r="Q171">
        <v>6</v>
      </c>
      <c r="R171">
        <v>31</v>
      </c>
      <c r="S171">
        <v>160</v>
      </c>
      <c r="T171">
        <v>210</v>
      </c>
      <c r="U171">
        <v>94</v>
      </c>
      <c r="V171">
        <v>1.8711</v>
      </c>
      <c r="W171">
        <v>4.1580000000000004</v>
      </c>
      <c r="X171" s="1">
        <v>0.14000000000000001</v>
      </c>
      <c r="Y171">
        <v>180</v>
      </c>
      <c r="Z171">
        <v>23</v>
      </c>
      <c r="AA171">
        <v>150</v>
      </c>
      <c r="AB171">
        <v>22</v>
      </c>
      <c r="AC171">
        <v>0</v>
      </c>
      <c r="AD171">
        <v>18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13</v>
      </c>
      <c r="AM171">
        <v>0</v>
      </c>
      <c r="AN171">
        <v>31</v>
      </c>
      <c r="AO171">
        <v>0</v>
      </c>
      <c r="AP171">
        <v>3</v>
      </c>
      <c r="AQ171" t="s">
        <v>596</v>
      </c>
      <c r="AR171" t="s">
        <v>433</v>
      </c>
      <c r="AS171">
        <v>3</v>
      </c>
    </row>
    <row r="172" spans="1:45" x14ac:dyDescent="0.25">
      <c r="A172">
        <v>34143</v>
      </c>
      <c r="B172" t="s">
        <v>597</v>
      </c>
      <c r="C172" s="85" t="str">
        <f>VLOOKUP(A172,ADM!$A$1:$N$343,14,0)</f>
        <v>Sète Agglopôle Méditerranée</v>
      </c>
      <c r="F172" t="s">
        <v>113</v>
      </c>
      <c r="H172">
        <v>42</v>
      </c>
      <c r="I172" t="s">
        <v>114</v>
      </c>
      <c r="J172" t="s">
        <v>114</v>
      </c>
      <c r="K172">
        <v>11</v>
      </c>
      <c r="L172" t="s">
        <v>114</v>
      </c>
      <c r="M172">
        <v>5</v>
      </c>
      <c r="N172">
        <v>13</v>
      </c>
      <c r="O172">
        <v>11</v>
      </c>
      <c r="P172">
        <v>9</v>
      </c>
      <c r="Q172">
        <v>0</v>
      </c>
      <c r="R172">
        <v>4</v>
      </c>
      <c r="S172">
        <v>21</v>
      </c>
      <c r="T172">
        <v>17</v>
      </c>
      <c r="U172">
        <v>0</v>
      </c>
      <c r="V172">
        <v>0</v>
      </c>
      <c r="W172">
        <v>2.5</v>
      </c>
      <c r="X172" s="1">
        <v>0.04</v>
      </c>
      <c r="Y172">
        <v>37</v>
      </c>
      <c r="Z172">
        <v>1</v>
      </c>
      <c r="AA172">
        <v>49</v>
      </c>
      <c r="AB172">
        <v>1</v>
      </c>
      <c r="AC172">
        <v>0</v>
      </c>
      <c r="AD172">
        <v>4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9</v>
      </c>
      <c r="AO172">
        <v>0</v>
      </c>
      <c r="AP172">
        <v>3</v>
      </c>
      <c r="AQ172" t="s">
        <v>599</v>
      </c>
      <c r="AR172" t="s">
        <v>600</v>
      </c>
      <c r="AS172">
        <v>1</v>
      </c>
    </row>
    <row r="173" spans="1:45" x14ac:dyDescent="0.25">
      <c r="A173">
        <v>34144</v>
      </c>
      <c r="B173" t="s">
        <v>601</v>
      </c>
      <c r="C173" s="85" t="str">
        <f>VLOOKUP(A173,ADM!$A$1:$N$343,14,0)</f>
        <v>CC Grand Orb en Languedoc</v>
      </c>
      <c r="F173" t="s">
        <v>113</v>
      </c>
      <c r="H173">
        <v>5</v>
      </c>
      <c r="I173" t="s">
        <v>114</v>
      </c>
      <c r="J173" t="s">
        <v>114</v>
      </c>
      <c r="K173" t="s">
        <v>114</v>
      </c>
      <c r="L173" t="s">
        <v>114</v>
      </c>
      <c r="M173">
        <v>0</v>
      </c>
      <c r="N173">
        <v>0</v>
      </c>
      <c r="O173">
        <v>1</v>
      </c>
      <c r="P173">
        <v>0</v>
      </c>
      <c r="Q173">
        <v>1</v>
      </c>
      <c r="R173">
        <v>2</v>
      </c>
      <c r="S173">
        <v>2</v>
      </c>
      <c r="T173">
        <v>0</v>
      </c>
      <c r="U173">
        <v>0</v>
      </c>
      <c r="V173">
        <v>0</v>
      </c>
      <c r="W173">
        <v>20</v>
      </c>
      <c r="X173" s="1">
        <v>0.02</v>
      </c>
      <c r="Y173">
        <v>1</v>
      </c>
      <c r="Z173">
        <v>0</v>
      </c>
      <c r="AA173">
        <v>1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3</v>
      </c>
      <c r="AQ173" t="s">
        <v>145</v>
      </c>
      <c r="AR173" t="s">
        <v>145</v>
      </c>
      <c r="AS173">
        <v>4</v>
      </c>
    </row>
    <row r="174" spans="1:45" x14ac:dyDescent="0.25">
      <c r="A174">
        <v>34147</v>
      </c>
      <c r="B174" t="s">
        <v>612</v>
      </c>
      <c r="C174" s="85" t="str">
        <f>VLOOKUP(A174,ADM!$A$1:$N$343,14,0)</f>
        <v>CC les Avant-Monts</v>
      </c>
      <c r="F174" t="s">
        <v>113</v>
      </c>
      <c r="H174">
        <v>46</v>
      </c>
      <c r="I174" t="s">
        <v>114</v>
      </c>
      <c r="J174" t="s">
        <v>114</v>
      </c>
      <c r="K174">
        <v>3</v>
      </c>
      <c r="L174">
        <v>4</v>
      </c>
      <c r="M174">
        <v>3</v>
      </c>
      <c r="N174">
        <v>5</v>
      </c>
      <c r="O174">
        <v>9</v>
      </c>
      <c r="P174">
        <v>12</v>
      </c>
      <c r="Q174">
        <v>0</v>
      </c>
      <c r="R174">
        <v>1</v>
      </c>
      <c r="S174">
        <v>19</v>
      </c>
      <c r="T174">
        <v>19</v>
      </c>
      <c r="U174">
        <v>7</v>
      </c>
      <c r="V174">
        <v>2.1739000000000002</v>
      </c>
      <c r="W174">
        <v>13.0435</v>
      </c>
      <c r="X174" s="1">
        <v>0.03</v>
      </c>
      <c r="Y174">
        <v>39</v>
      </c>
      <c r="Z174">
        <v>7</v>
      </c>
      <c r="AA174">
        <v>34</v>
      </c>
      <c r="AB174">
        <v>6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3</v>
      </c>
      <c r="AQ174" t="s">
        <v>507</v>
      </c>
      <c r="AR174" t="s">
        <v>614</v>
      </c>
      <c r="AS174">
        <v>2</v>
      </c>
    </row>
    <row r="175" spans="1:45" x14ac:dyDescent="0.25">
      <c r="A175">
        <v>34149</v>
      </c>
      <c r="B175" t="s">
        <v>620</v>
      </c>
      <c r="C175" s="85" t="str">
        <f>VLOOKUP(A175,ADM!$A$1:$N$343,14,0)</f>
        <v>CC les Avant-Monts</v>
      </c>
      <c r="F175" t="s">
        <v>113</v>
      </c>
      <c r="H175">
        <v>18</v>
      </c>
      <c r="I175" t="s">
        <v>114</v>
      </c>
      <c r="J175" t="s">
        <v>114</v>
      </c>
      <c r="K175" t="s">
        <v>114</v>
      </c>
      <c r="L175" t="s">
        <v>114</v>
      </c>
      <c r="M175">
        <v>2</v>
      </c>
      <c r="N175">
        <v>6</v>
      </c>
      <c r="O175">
        <v>9</v>
      </c>
      <c r="P175">
        <v>2</v>
      </c>
      <c r="Q175">
        <v>0</v>
      </c>
      <c r="R175">
        <v>0</v>
      </c>
      <c r="S175">
        <v>7</v>
      </c>
      <c r="T175">
        <v>11</v>
      </c>
      <c r="U175">
        <v>0</v>
      </c>
      <c r="V175">
        <v>0</v>
      </c>
      <c r="W175">
        <v>0</v>
      </c>
      <c r="X175" s="1">
        <v>0.06</v>
      </c>
      <c r="Y175">
        <v>10</v>
      </c>
      <c r="Z175">
        <v>3</v>
      </c>
      <c r="AA175">
        <v>32</v>
      </c>
      <c r="AB175">
        <v>0</v>
      </c>
      <c r="AC175">
        <v>0</v>
      </c>
      <c r="AD175">
        <v>2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8</v>
      </c>
      <c r="AM175">
        <v>0</v>
      </c>
      <c r="AN175">
        <v>6</v>
      </c>
      <c r="AO175">
        <v>0</v>
      </c>
      <c r="AP175">
        <v>3</v>
      </c>
      <c r="AQ175" t="s">
        <v>622</v>
      </c>
      <c r="AR175" t="s">
        <v>145</v>
      </c>
      <c r="AS175">
        <v>3</v>
      </c>
    </row>
    <row r="176" spans="1:45" x14ac:dyDescent="0.25">
      <c r="A176">
        <v>34152</v>
      </c>
      <c r="B176" t="s">
        <v>634</v>
      </c>
      <c r="C176" s="85" t="str">
        <f>VLOOKUP(A176,ADM!$A$1:$N$343,14,0)</f>
        <v>CC du Grand Pic Saint-Loup</v>
      </c>
      <c r="F176" t="s">
        <v>113</v>
      </c>
      <c r="H176">
        <v>0</v>
      </c>
      <c r="I176" t="s">
        <v>114</v>
      </c>
      <c r="J176" t="s">
        <v>114</v>
      </c>
      <c r="K176" t="s">
        <v>114</v>
      </c>
      <c r="L176" t="s">
        <v>114</v>
      </c>
      <c r="M176">
        <v>1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 s="1">
        <v>0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3</v>
      </c>
      <c r="AQ176" t="s">
        <v>145</v>
      </c>
      <c r="AR176" t="s">
        <v>145</v>
      </c>
      <c r="AS176">
        <v>2</v>
      </c>
    </row>
    <row r="177" spans="1:45" x14ac:dyDescent="0.25">
      <c r="A177">
        <v>34153</v>
      </c>
      <c r="B177" t="s">
        <v>636</v>
      </c>
      <c r="C177" s="85" t="str">
        <f>VLOOKUP(A177,ADM!$A$1:$N$343,14,0)</f>
        <v>CC du Grand Pic Saint-Loup</v>
      </c>
      <c r="F177" t="s">
        <v>113</v>
      </c>
      <c r="H177">
        <v>0</v>
      </c>
      <c r="I177" t="s">
        <v>114</v>
      </c>
      <c r="J177" t="s">
        <v>114</v>
      </c>
      <c r="K177" t="s">
        <v>114</v>
      </c>
      <c r="L177" t="s">
        <v>114</v>
      </c>
      <c r="M177">
        <v>0</v>
      </c>
      <c r="N177">
        <v>2</v>
      </c>
      <c r="O177">
        <v>3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 s="1">
        <v>0</v>
      </c>
      <c r="Y177">
        <v>5</v>
      </c>
      <c r="Z177">
        <v>0</v>
      </c>
      <c r="AA177">
        <v>5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3</v>
      </c>
      <c r="AQ177" t="s">
        <v>145</v>
      </c>
      <c r="AR177" t="s">
        <v>145</v>
      </c>
      <c r="AS177">
        <v>2</v>
      </c>
    </row>
    <row r="178" spans="1:45" x14ac:dyDescent="0.25">
      <c r="A178">
        <v>34154</v>
      </c>
      <c r="B178" t="s">
        <v>638</v>
      </c>
      <c r="C178" s="85" t="str">
        <f>VLOOKUP(A178,ADM!$A$1:$N$343,14,0)</f>
        <v>CA du Pays de l'Or</v>
      </c>
      <c r="F178" t="s">
        <v>113</v>
      </c>
      <c r="H178">
        <v>469</v>
      </c>
      <c r="I178">
        <v>2.0697674419999998</v>
      </c>
      <c r="J178">
        <v>8.3333333330000006</v>
      </c>
      <c r="K178">
        <v>12.454545449999999</v>
      </c>
      <c r="L178">
        <v>13.5</v>
      </c>
      <c r="M178">
        <v>89</v>
      </c>
      <c r="N178">
        <v>150</v>
      </c>
      <c r="O178">
        <v>137</v>
      </c>
      <c r="P178">
        <v>81</v>
      </c>
      <c r="Q178">
        <v>93</v>
      </c>
      <c r="R178">
        <v>78</v>
      </c>
      <c r="S178">
        <v>135</v>
      </c>
      <c r="T178">
        <v>151</v>
      </c>
      <c r="U178">
        <v>12</v>
      </c>
      <c r="V178">
        <v>1.2959000000000001</v>
      </c>
      <c r="W178">
        <v>16.78</v>
      </c>
      <c r="X178" s="1">
        <v>0.06</v>
      </c>
      <c r="Y178">
        <v>443</v>
      </c>
      <c r="Z178">
        <v>33</v>
      </c>
      <c r="AA178">
        <v>507</v>
      </c>
      <c r="AB178">
        <v>78</v>
      </c>
      <c r="AC178">
        <v>0</v>
      </c>
      <c r="AD178">
        <v>53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36</v>
      </c>
      <c r="AL178">
        <v>4</v>
      </c>
      <c r="AM178">
        <v>57</v>
      </c>
      <c r="AN178">
        <v>86</v>
      </c>
      <c r="AO178">
        <v>0</v>
      </c>
      <c r="AP178">
        <v>3</v>
      </c>
      <c r="AQ178" t="s">
        <v>640</v>
      </c>
      <c r="AR178" t="s">
        <v>254</v>
      </c>
      <c r="AS178">
        <v>1</v>
      </c>
    </row>
    <row r="179" spans="1:45" x14ac:dyDescent="0.25">
      <c r="A179">
        <v>34155</v>
      </c>
      <c r="B179" t="s">
        <v>641</v>
      </c>
      <c r="C179" s="85" t="str">
        <f>VLOOKUP(A179,ADM!$A$1:$N$343,14,0)</f>
        <v>CC la Domitienne</v>
      </c>
      <c r="F179" t="s">
        <v>113</v>
      </c>
      <c r="H179">
        <v>10</v>
      </c>
      <c r="I179" t="s">
        <v>114</v>
      </c>
      <c r="J179" t="s">
        <v>114</v>
      </c>
      <c r="K179">
        <v>10.5</v>
      </c>
      <c r="L179">
        <v>2.3333333330000001</v>
      </c>
      <c r="M179">
        <v>3</v>
      </c>
      <c r="N179">
        <v>9</v>
      </c>
      <c r="O179">
        <v>21</v>
      </c>
      <c r="P179">
        <v>7</v>
      </c>
      <c r="Q179">
        <v>0</v>
      </c>
      <c r="R179">
        <v>1</v>
      </c>
      <c r="S179">
        <v>4</v>
      </c>
      <c r="T179">
        <v>5</v>
      </c>
      <c r="U179">
        <v>0</v>
      </c>
      <c r="V179">
        <v>0</v>
      </c>
      <c r="W179">
        <v>33.333300000000001</v>
      </c>
      <c r="X179" s="1">
        <v>0.01</v>
      </c>
      <c r="Y179">
        <v>22</v>
      </c>
      <c r="Z179">
        <v>0</v>
      </c>
      <c r="AA179">
        <v>44</v>
      </c>
      <c r="AB179">
        <v>5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3</v>
      </c>
      <c r="AQ179" t="s">
        <v>145</v>
      </c>
      <c r="AR179" t="s">
        <v>643</v>
      </c>
      <c r="AS179">
        <v>2</v>
      </c>
    </row>
    <row r="180" spans="1:45" x14ac:dyDescent="0.25">
      <c r="A180">
        <v>34156</v>
      </c>
      <c r="B180" t="s">
        <v>644</v>
      </c>
      <c r="C180" s="85" t="str">
        <f>VLOOKUP(A180,ADM!$A$1:$N$343,14,0)</f>
        <v>CC du Clermontais</v>
      </c>
      <c r="F180" t="s">
        <v>113</v>
      </c>
      <c r="H180">
        <v>0</v>
      </c>
      <c r="I180" t="s">
        <v>114</v>
      </c>
      <c r="J180" t="s">
        <v>114</v>
      </c>
      <c r="K180" t="s">
        <v>114</v>
      </c>
      <c r="L180" t="s">
        <v>114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 s="1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3</v>
      </c>
      <c r="AQ180" t="s">
        <v>145</v>
      </c>
      <c r="AR180" t="s">
        <v>145</v>
      </c>
      <c r="AS180">
        <v>4</v>
      </c>
    </row>
    <row r="181" spans="1:45" x14ac:dyDescent="0.25">
      <c r="A181">
        <v>34158</v>
      </c>
      <c r="B181" t="s">
        <v>651</v>
      </c>
      <c r="C181" s="85" t="str">
        <f>VLOOKUP(A181,ADM!$A$1:$N$343,14,0)</f>
        <v>CC Du Minervois au Caroux en Haut-Languedoc</v>
      </c>
      <c r="F181" t="s">
        <v>113</v>
      </c>
      <c r="H181">
        <v>0</v>
      </c>
      <c r="I181" t="s">
        <v>114</v>
      </c>
      <c r="J181" t="s">
        <v>114</v>
      </c>
      <c r="K181" t="s">
        <v>114</v>
      </c>
      <c r="L181" t="s">
        <v>114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 s="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3</v>
      </c>
      <c r="AQ181" t="s">
        <v>145</v>
      </c>
      <c r="AR181" t="s">
        <v>145</v>
      </c>
      <c r="AS181">
        <v>3</v>
      </c>
    </row>
    <row r="182" spans="1:45" x14ac:dyDescent="0.25">
      <c r="A182">
        <v>34159</v>
      </c>
      <c r="B182" t="s">
        <v>653</v>
      </c>
      <c r="C182" s="85" t="str">
        <f>VLOOKUP(A182,ADM!$A$1:$N$343,14,0)</f>
        <v>Sète Agglopôle Méditerranée</v>
      </c>
      <c r="F182" t="s">
        <v>113</v>
      </c>
      <c r="H182">
        <v>44</v>
      </c>
      <c r="I182" t="s">
        <v>114</v>
      </c>
      <c r="J182">
        <v>9</v>
      </c>
      <c r="K182" t="s">
        <v>114</v>
      </c>
      <c r="L182">
        <v>13</v>
      </c>
      <c r="M182">
        <v>4</v>
      </c>
      <c r="N182">
        <v>18</v>
      </c>
      <c r="O182">
        <v>21</v>
      </c>
      <c r="P182">
        <v>13</v>
      </c>
      <c r="Q182">
        <v>0</v>
      </c>
      <c r="R182">
        <v>13</v>
      </c>
      <c r="S182">
        <v>20</v>
      </c>
      <c r="T182">
        <v>8</v>
      </c>
      <c r="U182">
        <v>3</v>
      </c>
      <c r="V182">
        <v>0</v>
      </c>
      <c r="W182">
        <v>11.6279</v>
      </c>
      <c r="X182" s="1">
        <v>0.03</v>
      </c>
      <c r="Y182">
        <v>45</v>
      </c>
      <c r="Z182">
        <v>4</v>
      </c>
      <c r="AA182">
        <v>62</v>
      </c>
      <c r="AB182">
        <v>3</v>
      </c>
      <c r="AC182">
        <v>0</v>
      </c>
      <c r="AD182">
        <v>2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4</v>
      </c>
      <c r="AO182">
        <v>0</v>
      </c>
      <c r="AP182">
        <v>3</v>
      </c>
      <c r="AQ182" t="s">
        <v>655</v>
      </c>
      <c r="AR182" t="s">
        <v>656</v>
      </c>
      <c r="AS182">
        <v>1</v>
      </c>
    </row>
    <row r="183" spans="1:45" x14ac:dyDescent="0.25">
      <c r="A183">
        <v>34160</v>
      </c>
      <c r="B183" t="s">
        <v>657</v>
      </c>
      <c r="C183" s="85" t="str">
        <f>VLOOKUP(A183,ADM!$A$1:$N$343,14,0)</f>
        <v>CC Du Minervois au Caroux en Haut-Languedoc</v>
      </c>
      <c r="F183" t="s">
        <v>113</v>
      </c>
      <c r="H183">
        <v>0</v>
      </c>
      <c r="I183" t="s">
        <v>114</v>
      </c>
      <c r="J183" t="s">
        <v>114</v>
      </c>
      <c r="K183" t="s">
        <v>114</v>
      </c>
      <c r="L183" t="s">
        <v>114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 s="1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3</v>
      </c>
      <c r="AQ183" t="s">
        <v>145</v>
      </c>
      <c r="AR183" t="s">
        <v>145</v>
      </c>
      <c r="AS183">
        <v>4</v>
      </c>
    </row>
    <row r="184" spans="1:45" x14ac:dyDescent="0.25">
      <c r="A184">
        <v>34161</v>
      </c>
      <c r="B184" t="s">
        <v>659</v>
      </c>
      <c r="C184" s="85" t="str">
        <f>VLOOKUP(A184,ADM!$A$1:$N$343,14,0)</f>
        <v>CC la Domitienne</v>
      </c>
      <c r="F184" t="s">
        <v>113</v>
      </c>
      <c r="H184">
        <v>43</v>
      </c>
      <c r="I184" t="s">
        <v>114</v>
      </c>
      <c r="J184">
        <v>2.6</v>
      </c>
      <c r="K184">
        <v>2.1666666669999999</v>
      </c>
      <c r="L184">
        <v>2</v>
      </c>
      <c r="M184">
        <v>3</v>
      </c>
      <c r="N184">
        <v>13</v>
      </c>
      <c r="O184">
        <v>13</v>
      </c>
      <c r="P184">
        <v>10</v>
      </c>
      <c r="Q184">
        <v>2</v>
      </c>
      <c r="R184">
        <v>4</v>
      </c>
      <c r="S184">
        <v>20</v>
      </c>
      <c r="T184">
        <v>16</v>
      </c>
      <c r="U184">
        <v>1</v>
      </c>
      <c r="V184">
        <v>0</v>
      </c>
      <c r="W184">
        <v>15.625</v>
      </c>
      <c r="X184" s="1">
        <v>0.03</v>
      </c>
      <c r="Y184">
        <v>54</v>
      </c>
      <c r="Z184">
        <v>3</v>
      </c>
      <c r="AA184">
        <v>44</v>
      </c>
      <c r="AB184">
        <v>16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71</v>
      </c>
      <c r="AN184">
        <v>0</v>
      </c>
      <c r="AO184">
        <v>0</v>
      </c>
      <c r="AP184">
        <v>3</v>
      </c>
      <c r="AQ184" t="s">
        <v>661</v>
      </c>
      <c r="AR184" t="s">
        <v>662</v>
      </c>
      <c r="AS184">
        <v>1</v>
      </c>
    </row>
    <row r="185" spans="1:45" x14ac:dyDescent="0.25">
      <c r="A185">
        <v>34163</v>
      </c>
      <c r="B185" t="s">
        <v>668</v>
      </c>
      <c r="C185" s="85" t="str">
        <f>VLOOKUP(A185,ADM!$A$1:$N$343,14,0)</f>
        <v>CC Vallée de l'hérault</v>
      </c>
      <c r="F185" t="s">
        <v>113</v>
      </c>
      <c r="H185">
        <v>125</v>
      </c>
      <c r="I185" t="s">
        <v>114</v>
      </c>
      <c r="J185">
        <v>3.25</v>
      </c>
      <c r="K185" t="s">
        <v>114</v>
      </c>
      <c r="L185" t="s">
        <v>114</v>
      </c>
      <c r="M185">
        <v>8</v>
      </c>
      <c r="N185">
        <v>13</v>
      </c>
      <c r="O185">
        <v>34</v>
      </c>
      <c r="P185">
        <v>18</v>
      </c>
      <c r="Q185">
        <v>0</v>
      </c>
      <c r="R185">
        <v>31</v>
      </c>
      <c r="S185">
        <v>58</v>
      </c>
      <c r="T185">
        <v>31</v>
      </c>
      <c r="U185">
        <v>5</v>
      </c>
      <c r="V185">
        <v>0.81969999999999998</v>
      </c>
      <c r="W185">
        <v>3.2787000000000002</v>
      </c>
      <c r="X185" s="1">
        <v>0.09</v>
      </c>
      <c r="Y185">
        <v>83</v>
      </c>
      <c r="Z185">
        <v>16</v>
      </c>
      <c r="AA185">
        <v>82</v>
      </c>
      <c r="AB185">
        <v>4</v>
      </c>
      <c r="AC185">
        <v>0</v>
      </c>
      <c r="AD185">
        <v>16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12</v>
      </c>
      <c r="AO185">
        <v>0</v>
      </c>
      <c r="AP185">
        <v>3</v>
      </c>
      <c r="AQ185" t="s">
        <v>670</v>
      </c>
      <c r="AR185" t="s">
        <v>671</v>
      </c>
      <c r="AS185">
        <v>1</v>
      </c>
    </row>
    <row r="186" spans="1:45" x14ac:dyDescent="0.25">
      <c r="A186">
        <v>34164</v>
      </c>
      <c r="B186" t="s">
        <v>672</v>
      </c>
      <c r="C186" s="85" t="str">
        <f>VLOOKUP(A186,ADM!$A$1:$N$343,14,0)</f>
        <v>Montpellier Méditerranée Métropole</v>
      </c>
      <c r="F186" t="s">
        <v>113</v>
      </c>
      <c r="H186">
        <v>12</v>
      </c>
      <c r="I186" t="s">
        <v>114</v>
      </c>
      <c r="J186">
        <v>1</v>
      </c>
      <c r="K186">
        <v>0</v>
      </c>
      <c r="L186" t="s">
        <v>114</v>
      </c>
      <c r="M186">
        <v>2</v>
      </c>
      <c r="N186">
        <v>1</v>
      </c>
      <c r="O186">
        <v>0</v>
      </c>
      <c r="P186">
        <v>1</v>
      </c>
      <c r="Q186">
        <v>0</v>
      </c>
      <c r="R186">
        <v>4</v>
      </c>
      <c r="S186">
        <v>5</v>
      </c>
      <c r="T186">
        <v>3</v>
      </c>
      <c r="U186">
        <v>0</v>
      </c>
      <c r="V186">
        <v>0</v>
      </c>
      <c r="W186">
        <v>16.666699999999999</v>
      </c>
      <c r="X186" s="1">
        <v>0.03</v>
      </c>
      <c r="Y186">
        <v>8</v>
      </c>
      <c r="Z186">
        <v>1</v>
      </c>
      <c r="AA186">
        <v>7</v>
      </c>
      <c r="AB186">
        <v>2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3</v>
      </c>
      <c r="AQ186" t="s">
        <v>405</v>
      </c>
      <c r="AR186" t="s">
        <v>495</v>
      </c>
      <c r="AS186">
        <v>2</v>
      </c>
    </row>
    <row r="187" spans="1:45" x14ac:dyDescent="0.25">
      <c r="A187">
        <v>34165</v>
      </c>
      <c r="B187" t="s">
        <v>674</v>
      </c>
      <c r="C187" s="85" t="str">
        <f>VLOOKUP(A187,ADM!$A$1:$N$343,14,0)</f>
        <v>Sète Agglopôle Méditerranée</v>
      </c>
      <c r="F187" t="s">
        <v>113</v>
      </c>
      <c r="H187">
        <v>73</v>
      </c>
      <c r="I187" t="s">
        <v>114</v>
      </c>
      <c r="J187" t="s">
        <v>114</v>
      </c>
      <c r="K187">
        <v>14</v>
      </c>
      <c r="L187" t="s">
        <v>114</v>
      </c>
      <c r="M187">
        <v>0</v>
      </c>
      <c r="N187">
        <v>12</v>
      </c>
      <c r="O187">
        <v>14</v>
      </c>
      <c r="P187">
        <v>8</v>
      </c>
      <c r="Q187">
        <v>3</v>
      </c>
      <c r="R187">
        <v>6</v>
      </c>
      <c r="S187">
        <v>34</v>
      </c>
      <c r="T187">
        <v>24</v>
      </c>
      <c r="U187">
        <v>6</v>
      </c>
      <c r="V187">
        <v>1.3889</v>
      </c>
      <c r="W187">
        <v>1.3889</v>
      </c>
      <c r="X187" s="1">
        <v>0.06</v>
      </c>
      <c r="Y187">
        <v>37</v>
      </c>
      <c r="Z187">
        <v>3</v>
      </c>
      <c r="AA187">
        <v>38</v>
      </c>
      <c r="AB187">
        <v>1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3</v>
      </c>
      <c r="AQ187" t="s">
        <v>181</v>
      </c>
      <c r="AR187" t="s">
        <v>676</v>
      </c>
      <c r="AS187">
        <v>1</v>
      </c>
    </row>
    <row r="188" spans="1:45" x14ac:dyDescent="0.25">
      <c r="A188">
        <v>34166</v>
      </c>
      <c r="B188" t="s">
        <v>677</v>
      </c>
      <c r="C188" s="85" t="str">
        <f>VLOOKUP(A188,ADM!$A$1:$N$343,14,0)</f>
        <v>CA de Béziers-Méditerranée</v>
      </c>
      <c r="F188" t="s">
        <v>113</v>
      </c>
      <c r="H188">
        <v>28</v>
      </c>
      <c r="I188" t="s">
        <v>114</v>
      </c>
      <c r="J188" t="s">
        <v>114</v>
      </c>
      <c r="K188">
        <v>8</v>
      </c>
      <c r="L188" t="s">
        <v>114</v>
      </c>
      <c r="M188">
        <v>1</v>
      </c>
      <c r="N188">
        <v>5</v>
      </c>
      <c r="O188">
        <v>8</v>
      </c>
      <c r="P188">
        <v>4</v>
      </c>
      <c r="Q188">
        <v>0</v>
      </c>
      <c r="R188">
        <v>0</v>
      </c>
      <c r="S188">
        <v>15</v>
      </c>
      <c r="T188">
        <v>13</v>
      </c>
      <c r="U188">
        <v>0</v>
      </c>
      <c r="V188">
        <v>0</v>
      </c>
      <c r="W188">
        <v>3.5714000000000001</v>
      </c>
      <c r="X188" s="1">
        <v>0.02</v>
      </c>
      <c r="Y188">
        <v>17</v>
      </c>
      <c r="Z188">
        <v>1</v>
      </c>
      <c r="AA188">
        <v>19</v>
      </c>
      <c r="AB188">
        <v>1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3</v>
      </c>
      <c r="AQ188" t="s">
        <v>245</v>
      </c>
      <c r="AR188" t="s">
        <v>679</v>
      </c>
      <c r="AS188">
        <v>2</v>
      </c>
    </row>
    <row r="189" spans="1:45" x14ac:dyDescent="0.25">
      <c r="A189">
        <v>34167</v>
      </c>
      <c r="B189" t="s">
        <v>680</v>
      </c>
      <c r="C189" s="85" t="str">
        <f>VLOOKUP(A189,ADM!$A$1:$N$343,14,0)</f>
        <v>CC Sud-Hérault</v>
      </c>
      <c r="F189" t="s">
        <v>113</v>
      </c>
      <c r="H189">
        <v>0</v>
      </c>
      <c r="I189" t="s">
        <v>114</v>
      </c>
      <c r="J189" t="s">
        <v>114</v>
      </c>
      <c r="K189" t="s">
        <v>114</v>
      </c>
      <c r="L189" t="s">
        <v>114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1">
        <v>0</v>
      </c>
      <c r="Y189">
        <v>1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3</v>
      </c>
      <c r="AQ189" t="s">
        <v>145</v>
      </c>
      <c r="AR189" t="s">
        <v>145</v>
      </c>
      <c r="AS189">
        <v>3</v>
      </c>
    </row>
    <row r="190" spans="1:45" x14ac:dyDescent="0.25">
      <c r="A190">
        <v>34168</v>
      </c>
      <c r="B190" t="s">
        <v>682</v>
      </c>
      <c r="C190" s="85" t="str">
        <f>VLOOKUP(A190,ADM!$A$1:$N$343,14,0)</f>
        <v>CC les Avant-Monts</v>
      </c>
      <c r="F190" t="s">
        <v>113</v>
      </c>
      <c r="H190">
        <v>0</v>
      </c>
      <c r="I190" t="s">
        <v>114</v>
      </c>
      <c r="J190" t="s">
        <v>114</v>
      </c>
      <c r="K190" t="s">
        <v>114</v>
      </c>
      <c r="L190" t="s">
        <v>114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1">
        <v>0</v>
      </c>
      <c r="Y190">
        <v>1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3</v>
      </c>
      <c r="AQ190" t="s">
        <v>145</v>
      </c>
      <c r="AR190" t="s">
        <v>145</v>
      </c>
      <c r="AS190">
        <v>4</v>
      </c>
    </row>
    <row r="191" spans="1:45" x14ac:dyDescent="0.25">
      <c r="A191">
        <v>34170</v>
      </c>
      <c r="B191" t="s">
        <v>689</v>
      </c>
      <c r="C191" s="85" t="str">
        <f>VLOOKUP(A191,ADM!$A$1:$N$343,14,0)</f>
        <v>CC Sud-Hérault</v>
      </c>
      <c r="F191" t="s">
        <v>113</v>
      </c>
      <c r="H191">
        <v>3</v>
      </c>
      <c r="I191" t="s">
        <v>114</v>
      </c>
      <c r="J191" t="s">
        <v>114</v>
      </c>
      <c r="K191" t="s">
        <v>114</v>
      </c>
      <c r="L191" t="s">
        <v>114</v>
      </c>
      <c r="Q191">
        <v>0</v>
      </c>
      <c r="R191">
        <v>0</v>
      </c>
      <c r="S191">
        <v>1</v>
      </c>
      <c r="T191">
        <v>2</v>
      </c>
      <c r="U191">
        <v>0</v>
      </c>
      <c r="V191">
        <v>0</v>
      </c>
      <c r="W191">
        <v>0</v>
      </c>
      <c r="X191" s="1">
        <v>0.03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3</v>
      </c>
      <c r="AQ191" t="s">
        <v>145</v>
      </c>
      <c r="AR191" t="s">
        <v>145</v>
      </c>
      <c r="AS191">
        <v>4</v>
      </c>
    </row>
    <row r="192" spans="1:45" x14ac:dyDescent="0.25">
      <c r="A192">
        <v>34171</v>
      </c>
      <c r="B192" t="s">
        <v>691</v>
      </c>
      <c r="C192" s="85" t="str">
        <f>VLOOKUP(A192,ADM!$A$1:$N$343,14,0)</f>
        <v>CC des Cévennes Gangeoises et Suménoises</v>
      </c>
      <c r="F192" t="s">
        <v>113</v>
      </c>
      <c r="H192">
        <v>7</v>
      </c>
      <c r="I192" t="s">
        <v>114</v>
      </c>
      <c r="J192" t="s">
        <v>114</v>
      </c>
      <c r="K192" t="s">
        <v>114</v>
      </c>
      <c r="L192" t="s">
        <v>114</v>
      </c>
      <c r="M192">
        <v>0</v>
      </c>
      <c r="N192">
        <v>2</v>
      </c>
      <c r="O192">
        <v>1</v>
      </c>
      <c r="P192">
        <v>0</v>
      </c>
      <c r="Q192">
        <v>0</v>
      </c>
      <c r="R192">
        <v>0</v>
      </c>
      <c r="S192">
        <v>3</v>
      </c>
      <c r="T192">
        <v>2</v>
      </c>
      <c r="U192">
        <v>2</v>
      </c>
      <c r="V192">
        <v>0</v>
      </c>
      <c r="W192">
        <v>0</v>
      </c>
      <c r="X192" s="1">
        <v>0.1</v>
      </c>
      <c r="Y192">
        <v>2</v>
      </c>
      <c r="Z192">
        <v>0</v>
      </c>
      <c r="AA192">
        <v>3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3</v>
      </c>
      <c r="AQ192" t="s">
        <v>145</v>
      </c>
      <c r="AR192" t="s">
        <v>145</v>
      </c>
      <c r="AS192">
        <v>4</v>
      </c>
    </row>
    <row r="193" spans="1:45" x14ac:dyDescent="0.25">
      <c r="A193">
        <v>34173</v>
      </c>
      <c r="B193" t="s">
        <v>702</v>
      </c>
      <c r="C193" s="85" t="str">
        <f>VLOOKUP(A193,ADM!$A$1:$N$343,14,0)</f>
        <v>CC Vallée de l'hérault</v>
      </c>
      <c r="F193" t="s">
        <v>113</v>
      </c>
      <c r="H193">
        <v>0</v>
      </c>
      <c r="I193" t="s">
        <v>114</v>
      </c>
      <c r="J193" t="s">
        <v>114</v>
      </c>
      <c r="K193" t="s">
        <v>114</v>
      </c>
      <c r="L193" t="s">
        <v>114</v>
      </c>
      <c r="M193">
        <v>0</v>
      </c>
      <c r="N193">
        <v>1</v>
      </c>
      <c r="O193">
        <v>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1">
        <v>0</v>
      </c>
      <c r="Y193">
        <v>1</v>
      </c>
      <c r="Z193">
        <v>0</v>
      </c>
      <c r="AA193">
        <v>2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3</v>
      </c>
      <c r="AQ193" t="s">
        <v>145</v>
      </c>
      <c r="AR193" t="s">
        <v>145</v>
      </c>
      <c r="AS193">
        <v>3</v>
      </c>
    </row>
    <row r="194" spans="1:45" x14ac:dyDescent="0.25">
      <c r="A194">
        <v>34174</v>
      </c>
      <c r="B194" t="s">
        <v>704</v>
      </c>
      <c r="C194" s="85" t="str">
        <f>VLOOKUP(A194,ADM!$A$1:$N$343,14,0)</f>
        <v>CC des Cévennes Gangeoises et Suménoises</v>
      </c>
      <c r="F194" t="s">
        <v>113</v>
      </c>
      <c r="H194">
        <v>0</v>
      </c>
      <c r="I194" t="s">
        <v>114</v>
      </c>
      <c r="J194" t="s">
        <v>114</v>
      </c>
      <c r="K194" t="s">
        <v>114</v>
      </c>
      <c r="L194" t="s">
        <v>114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1">
        <v>0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3</v>
      </c>
      <c r="AQ194" t="s">
        <v>145</v>
      </c>
      <c r="AR194" t="s">
        <v>145</v>
      </c>
      <c r="AS194">
        <v>2</v>
      </c>
    </row>
    <row r="195" spans="1:45" x14ac:dyDescent="0.25">
      <c r="A195">
        <v>34175</v>
      </c>
      <c r="B195" t="s">
        <v>706</v>
      </c>
      <c r="C195" s="85" t="str">
        <f>VLOOKUP(A195,ADM!$A$1:$N$343,14,0)</f>
        <v>CC du Clermontais</v>
      </c>
      <c r="F195" t="s">
        <v>113</v>
      </c>
      <c r="H195">
        <v>0</v>
      </c>
      <c r="I195" t="s">
        <v>114</v>
      </c>
      <c r="J195" t="s">
        <v>114</v>
      </c>
      <c r="K195" t="s">
        <v>114</v>
      </c>
      <c r="L195" t="s">
        <v>114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1">
        <v>0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3</v>
      </c>
      <c r="AQ195" t="s">
        <v>145</v>
      </c>
      <c r="AR195" t="s">
        <v>145</v>
      </c>
      <c r="AS195">
        <v>3</v>
      </c>
    </row>
    <row r="196" spans="1:45" x14ac:dyDescent="0.25">
      <c r="A196">
        <v>34176</v>
      </c>
      <c r="B196" t="s">
        <v>708</v>
      </c>
      <c r="C196" s="85" t="str">
        <f>VLOOKUP(A196,ADM!$A$1:$N$343,14,0)</f>
        <v>CA du Pays de l'Or</v>
      </c>
      <c r="F196" t="s">
        <v>113</v>
      </c>
      <c r="H196">
        <v>54</v>
      </c>
      <c r="I196" t="s">
        <v>114</v>
      </c>
      <c r="J196" t="s">
        <v>114</v>
      </c>
      <c r="K196">
        <v>6.3333333329999997</v>
      </c>
      <c r="L196">
        <v>13</v>
      </c>
      <c r="M196">
        <v>4</v>
      </c>
      <c r="N196">
        <v>24</v>
      </c>
      <c r="O196">
        <v>19</v>
      </c>
      <c r="P196">
        <v>13</v>
      </c>
      <c r="Q196">
        <v>0</v>
      </c>
      <c r="R196">
        <v>4</v>
      </c>
      <c r="S196">
        <v>27</v>
      </c>
      <c r="T196">
        <v>22</v>
      </c>
      <c r="U196">
        <v>1</v>
      </c>
      <c r="V196">
        <v>1.9231</v>
      </c>
      <c r="W196">
        <v>5.7691999999999997</v>
      </c>
      <c r="X196" s="1">
        <v>0.05</v>
      </c>
      <c r="Y196">
        <v>61</v>
      </c>
      <c r="Z196">
        <v>1</v>
      </c>
      <c r="AA196">
        <v>66</v>
      </c>
      <c r="AB196">
        <v>4</v>
      </c>
      <c r="AC196">
        <v>0</v>
      </c>
      <c r="AD196">
        <v>11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19</v>
      </c>
      <c r="AO196">
        <v>0</v>
      </c>
      <c r="AP196">
        <v>3</v>
      </c>
      <c r="AQ196" t="s">
        <v>710</v>
      </c>
      <c r="AR196" t="s">
        <v>711</v>
      </c>
      <c r="AS196">
        <v>1</v>
      </c>
    </row>
    <row r="197" spans="1:45" x14ac:dyDescent="0.25">
      <c r="A197">
        <v>34177</v>
      </c>
      <c r="B197" t="s">
        <v>712</v>
      </c>
      <c r="C197" s="85" t="str">
        <f>VLOOKUP(A197,ADM!$A$1:$N$343,14,0)</f>
        <v>CC du Grand Pic Saint-Loup</v>
      </c>
      <c r="F197" t="s">
        <v>113</v>
      </c>
      <c r="H197">
        <v>0</v>
      </c>
      <c r="I197" t="s">
        <v>114</v>
      </c>
      <c r="J197" t="s">
        <v>114</v>
      </c>
      <c r="K197" t="s">
        <v>114</v>
      </c>
      <c r="L197" t="s">
        <v>114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1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3</v>
      </c>
      <c r="AQ197" t="s">
        <v>145</v>
      </c>
      <c r="AR197" t="s">
        <v>145</v>
      </c>
      <c r="AS197">
        <v>2</v>
      </c>
    </row>
    <row r="198" spans="1:45" x14ac:dyDescent="0.25">
      <c r="A198">
        <v>34178</v>
      </c>
      <c r="B198" t="s">
        <v>714</v>
      </c>
      <c r="C198" s="85" t="str">
        <f>VLOOKUP(A198,ADM!$A$1:$N$343,14,0)</f>
        <v>CC les Avant-Monts</v>
      </c>
      <c r="F198" t="s">
        <v>113</v>
      </c>
      <c r="H198">
        <v>92</v>
      </c>
      <c r="I198" t="s">
        <v>114</v>
      </c>
      <c r="J198" t="s">
        <v>114</v>
      </c>
      <c r="K198">
        <v>5</v>
      </c>
      <c r="L198">
        <v>14</v>
      </c>
      <c r="M198">
        <v>2</v>
      </c>
      <c r="N198">
        <v>15</v>
      </c>
      <c r="O198">
        <v>10</v>
      </c>
      <c r="P198">
        <v>14</v>
      </c>
      <c r="Q198">
        <v>0</v>
      </c>
      <c r="R198">
        <v>8</v>
      </c>
      <c r="S198">
        <v>33</v>
      </c>
      <c r="T198">
        <v>25</v>
      </c>
      <c r="U198">
        <v>26</v>
      </c>
      <c r="V198">
        <v>1.0989</v>
      </c>
      <c r="W198">
        <v>2.1978</v>
      </c>
      <c r="X198" s="1">
        <v>7.0000000000000007E-2</v>
      </c>
      <c r="Y198">
        <v>50</v>
      </c>
      <c r="Z198">
        <v>9</v>
      </c>
      <c r="AA198">
        <v>43</v>
      </c>
      <c r="AB198">
        <v>3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3</v>
      </c>
      <c r="AQ198" t="s">
        <v>716</v>
      </c>
      <c r="AR198" t="s">
        <v>717</v>
      </c>
      <c r="AS198">
        <v>3</v>
      </c>
    </row>
    <row r="199" spans="1:45" x14ac:dyDescent="0.25">
      <c r="A199">
        <v>34179</v>
      </c>
      <c r="B199" t="s">
        <v>718</v>
      </c>
      <c r="C199" s="85" t="str">
        <f>VLOOKUP(A199,ADM!$A$1:$N$343,14,0)</f>
        <v>Montpellier Méditerranée Métropole</v>
      </c>
      <c r="F199" t="s">
        <v>113</v>
      </c>
      <c r="H199">
        <v>46</v>
      </c>
      <c r="I199" t="s">
        <v>114</v>
      </c>
      <c r="J199" t="s">
        <v>114</v>
      </c>
      <c r="K199">
        <v>15</v>
      </c>
      <c r="L199" t="s">
        <v>114</v>
      </c>
      <c r="M199">
        <v>3</v>
      </c>
      <c r="N199">
        <v>7</v>
      </c>
      <c r="O199">
        <v>15</v>
      </c>
      <c r="P199">
        <v>9</v>
      </c>
      <c r="Q199">
        <v>2</v>
      </c>
      <c r="R199">
        <v>6</v>
      </c>
      <c r="S199">
        <v>19</v>
      </c>
      <c r="T199">
        <v>16</v>
      </c>
      <c r="U199">
        <v>3</v>
      </c>
      <c r="V199">
        <v>0</v>
      </c>
      <c r="W199">
        <v>6.8182</v>
      </c>
      <c r="X199" s="1">
        <v>0.06</v>
      </c>
      <c r="Y199">
        <v>31</v>
      </c>
      <c r="Z199">
        <v>1</v>
      </c>
      <c r="AA199">
        <v>39</v>
      </c>
      <c r="AB199">
        <v>1</v>
      </c>
      <c r="AC199">
        <v>0</v>
      </c>
      <c r="AD199">
        <v>10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19</v>
      </c>
      <c r="AO199">
        <v>0</v>
      </c>
      <c r="AP199">
        <v>3</v>
      </c>
      <c r="AQ199" t="s">
        <v>720</v>
      </c>
      <c r="AR199" t="s">
        <v>327</v>
      </c>
      <c r="AS199">
        <v>2</v>
      </c>
    </row>
    <row r="200" spans="1:45" x14ac:dyDescent="0.25">
      <c r="A200">
        <v>34180</v>
      </c>
      <c r="B200" t="s">
        <v>721</v>
      </c>
      <c r="C200" s="85" t="str">
        <f>VLOOKUP(A200,ADM!$A$1:$N$343,14,0)</f>
        <v>CC du Clermontais</v>
      </c>
      <c r="F200" t="s">
        <v>113</v>
      </c>
      <c r="H200">
        <v>15</v>
      </c>
      <c r="I200" t="s">
        <v>114</v>
      </c>
      <c r="J200" t="s">
        <v>114</v>
      </c>
      <c r="K200">
        <v>4</v>
      </c>
      <c r="L200">
        <v>2</v>
      </c>
      <c r="M200">
        <v>2</v>
      </c>
      <c r="N200">
        <v>3</v>
      </c>
      <c r="O200">
        <v>4</v>
      </c>
      <c r="P200">
        <v>2</v>
      </c>
      <c r="Q200">
        <v>0</v>
      </c>
      <c r="R200">
        <v>0</v>
      </c>
      <c r="S200">
        <v>2</v>
      </c>
      <c r="T200">
        <v>10</v>
      </c>
      <c r="U200">
        <v>3</v>
      </c>
      <c r="V200">
        <v>0</v>
      </c>
      <c r="W200">
        <v>13.333299999999999</v>
      </c>
      <c r="X200" s="1">
        <v>0.03</v>
      </c>
      <c r="Y200">
        <v>8</v>
      </c>
      <c r="Z200">
        <v>0</v>
      </c>
      <c r="AA200">
        <v>11</v>
      </c>
      <c r="AB200">
        <v>2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3</v>
      </c>
      <c r="AQ200" t="s">
        <v>145</v>
      </c>
      <c r="AR200" t="s">
        <v>723</v>
      </c>
      <c r="AS200">
        <v>2</v>
      </c>
    </row>
    <row r="201" spans="1:45" x14ac:dyDescent="0.25">
      <c r="A201">
        <v>34181</v>
      </c>
      <c r="B201" t="s">
        <v>724</v>
      </c>
      <c r="C201" s="85" t="str">
        <f>VLOOKUP(A201,ADM!$A$1:$N$343,14,0)</f>
        <v>CC les Avant-Monts</v>
      </c>
      <c r="F201" t="s">
        <v>113</v>
      </c>
      <c r="H201">
        <v>11</v>
      </c>
      <c r="I201" t="s">
        <v>114</v>
      </c>
      <c r="J201" t="s">
        <v>114</v>
      </c>
      <c r="K201" t="s">
        <v>114</v>
      </c>
      <c r="L201" t="s">
        <v>114</v>
      </c>
      <c r="M201">
        <v>1</v>
      </c>
      <c r="N201">
        <v>1</v>
      </c>
      <c r="O201">
        <v>3</v>
      </c>
      <c r="P201">
        <v>2</v>
      </c>
      <c r="Q201">
        <v>0</v>
      </c>
      <c r="R201">
        <v>0</v>
      </c>
      <c r="S201">
        <v>8</v>
      </c>
      <c r="T201">
        <v>3</v>
      </c>
      <c r="U201">
        <v>0</v>
      </c>
      <c r="V201">
        <v>0</v>
      </c>
      <c r="W201">
        <v>0</v>
      </c>
      <c r="X201" s="1">
        <v>0.02</v>
      </c>
      <c r="Y201">
        <v>7</v>
      </c>
      <c r="Z201">
        <v>0</v>
      </c>
      <c r="AA201">
        <v>7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3</v>
      </c>
      <c r="AQ201" t="s">
        <v>145</v>
      </c>
      <c r="AR201" t="s">
        <v>145</v>
      </c>
      <c r="AS201">
        <v>3</v>
      </c>
    </row>
    <row r="202" spans="1:45" x14ac:dyDescent="0.25">
      <c r="A202">
        <v>34182</v>
      </c>
      <c r="B202" t="s">
        <v>726</v>
      </c>
      <c r="C202" s="85" t="str">
        <f>VLOOKUP(A202,ADM!$A$1:$N$343,14,0)</f>
        <v>CA Hérault-Méditerranée</v>
      </c>
      <c r="F202" t="s">
        <v>113</v>
      </c>
      <c r="H202">
        <v>65</v>
      </c>
      <c r="I202" t="s">
        <v>114</v>
      </c>
      <c r="J202">
        <v>1.5</v>
      </c>
      <c r="K202">
        <v>4</v>
      </c>
      <c r="L202">
        <v>1.75</v>
      </c>
      <c r="M202">
        <v>0</v>
      </c>
      <c r="N202">
        <v>6</v>
      </c>
      <c r="O202">
        <v>8</v>
      </c>
      <c r="P202">
        <v>7</v>
      </c>
      <c r="Q202">
        <v>1</v>
      </c>
      <c r="R202">
        <v>22</v>
      </c>
      <c r="S202">
        <v>19</v>
      </c>
      <c r="T202">
        <v>23</v>
      </c>
      <c r="U202">
        <v>0</v>
      </c>
      <c r="V202">
        <v>1.5625</v>
      </c>
      <c r="W202">
        <v>18.75</v>
      </c>
      <c r="X202" s="1">
        <v>0.09</v>
      </c>
      <c r="Y202">
        <v>17</v>
      </c>
      <c r="Z202">
        <v>7</v>
      </c>
      <c r="AA202">
        <v>22</v>
      </c>
      <c r="AB202">
        <v>10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3</v>
      </c>
      <c r="AQ202" t="s">
        <v>728</v>
      </c>
      <c r="AR202" t="s">
        <v>729</v>
      </c>
      <c r="AS202">
        <v>3</v>
      </c>
    </row>
    <row r="203" spans="1:45" x14ac:dyDescent="0.25">
      <c r="A203">
        <v>34183</v>
      </c>
      <c r="B203" t="s">
        <v>730</v>
      </c>
      <c r="C203" s="85" t="str">
        <f>VLOOKUP(A203,ADM!$A$1:$N$343,14,0)</f>
        <v>CC la Domitienne</v>
      </c>
      <c r="F203" t="s">
        <v>113</v>
      </c>
      <c r="H203">
        <v>54</v>
      </c>
      <c r="I203">
        <v>2</v>
      </c>
      <c r="J203" t="s">
        <v>114</v>
      </c>
      <c r="K203">
        <v>2.8</v>
      </c>
      <c r="L203">
        <v>3</v>
      </c>
      <c r="M203">
        <v>2</v>
      </c>
      <c r="N203">
        <v>6</v>
      </c>
      <c r="O203">
        <v>14</v>
      </c>
      <c r="P203">
        <v>6</v>
      </c>
      <c r="Q203">
        <v>2</v>
      </c>
      <c r="R203">
        <v>4</v>
      </c>
      <c r="S203">
        <v>29</v>
      </c>
      <c r="T203">
        <v>18</v>
      </c>
      <c r="U203">
        <v>1</v>
      </c>
      <c r="V203">
        <v>0</v>
      </c>
      <c r="W203">
        <v>15.0943</v>
      </c>
      <c r="X203" s="1">
        <v>0.03</v>
      </c>
      <c r="Y203">
        <v>30</v>
      </c>
      <c r="Z203">
        <v>2</v>
      </c>
      <c r="AA203">
        <v>30</v>
      </c>
      <c r="AB203">
        <v>8</v>
      </c>
      <c r="AC203">
        <v>0</v>
      </c>
      <c r="AD203">
        <v>10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17</v>
      </c>
      <c r="AO203">
        <v>0</v>
      </c>
      <c r="AP203">
        <v>3</v>
      </c>
      <c r="AQ203" t="s">
        <v>519</v>
      </c>
      <c r="AR203" t="s">
        <v>732</v>
      </c>
      <c r="AS203">
        <v>2</v>
      </c>
    </row>
    <row r="204" spans="1:45" x14ac:dyDescent="0.25">
      <c r="A204">
        <v>34184</v>
      </c>
      <c r="B204" t="s">
        <v>733</v>
      </c>
      <c r="C204" s="85" t="str">
        <f>VLOOKUP(A204,ADM!$A$1:$N$343,14,0)</f>
        <v>CA Hérault-Méditerranée</v>
      </c>
      <c r="F204" t="s">
        <v>113</v>
      </c>
      <c r="H204">
        <v>7</v>
      </c>
      <c r="I204" t="s">
        <v>114</v>
      </c>
      <c r="J204">
        <v>0</v>
      </c>
      <c r="K204">
        <v>0</v>
      </c>
      <c r="L204" t="s">
        <v>114</v>
      </c>
      <c r="Q204">
        <v>0</v>
      </c>
      <c r="R204">
        <v>4</v>
      </c>
      <c r="S204">
        <v>2</v>
      </c>
      <c r="T204">
        <v>1</v>
      </c>
      <c r="U204">
        <v>0</v>
      </c>
      <c r="V204">
        <v>0</v>
      </c>
      <c r="W204">
        <v>28.571400000000001</v>
      </c>
      <c r="X204" s="1">
        <v>0.02</v>
      </c>
      <c r="Y204">
        <v>1</v>
      </c>
      <c r="Z204">
        <v>3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3</v>
      </c>
      <c r="AQ204" t="s">
        <v>735</v>
      </c>
      <c r="AR204" t="s">
        <v>145</v>
      </c>
      <c r="AS204">
        <v>3</v>
      </c>
    </row>
    <row r="205" spans="1:45" x14ac:dyDescent="0.25">
      <c r="A205">
        <v>34185</v>
      </c>
      <c r="B205" t="s">
        <v>736</v>
      </c>
      <c r="C205" s="85" t="str">
        <f>VLOOKUP(A205,ADM!$A$1:$N$343,14,0)</f>
        <v>CC du Grand Pic Saint-Loup</v>
      </c>
      <c r="F205" t="s">
        <v>113</v>
      </c>
      <c r="H205">
        <v>0</v>
      </c>
      <c r="I205" t="s">
        <v>114</v>
      </c>
      <c r="J205" t="s">
        <v>114</v>
      </c>
      <c r="K205" t="s">
        <v>114</v>
      </c>
      <c r="L205" t="s">
        <v>114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 s="1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3</v>
      </c>
      <c r="AQ205" t="s">
        <v>145</v>
      </c>
      <c r="AR205" t="s">
        <v>145</v>
      </c>
      <c r="AS205">
        <v>3</v>
      </c>
    </row>
    <row r="206" spans="1:45" x14ac:dyDescent="0.25">
      <c r="A206">
        <v>34186</v>
      </c>
      <c r="B206" t="s">
        <v>738</v>
      </c>
      <c r="C206" s="85" t="str">
        <f>VLOOKUP(A206,ADM!$A$1:$N$343,14,0)</f>
        <v>CC du Clermontais</v>
      </c>
      <c r="F206" t="s">
        <v>113</v>
      </c>
      <c r="H206">
        <v>12</v>
      </c>
      <c r="I206" t="s">
        <v>114</v>
      </c>
      <c r="J206" t="s">
        <v>114</v>
      </c>
      <c r="K206" t="s">
        <v>114</v>
      </c>
      <c r="L206" t="s">
        <v>114</v>
      </c>
      <c r="M206">
        <v>0</v>
      </c>
      <c r="N206">
        <v>0</v>
      </c>
      <c r="O206">
        <v>1</v>
      </c>
      <c r="P206">
        <v>0</v>
      </c>
      <c r="Q206">
        <v>0</v>
      </c>
      <c r="R206">
        <v>0</v>
      </c>
      <c r="S206">
        <v>3</v>
      </c>
      <c r="T206">
        <v>5</v>
      </c>
      <c r="U206">
        <v>4</v>
      </c>
      <c r="V206">
        <v>0</v>
      </c>
      <c r="W206">
        <v>0</v>
      </c>
      <c r="X206" s="1">
        <v>0.05</v>
      </c>
      <c r="Y206">
        <v>5</v>
      </c>
      <c r="Z206">
        <v>0</v>
      </c>
      <c r="AA206">
        <v>2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3</v>
      </c>
      <c r="AQ206" t="s">
        <v>145</v>
      </c>
      <c r="AR206" t="s">
        <v>145</v>
      </c>
      <c r="AS206">
        <v>4</v>
      </c>
    </row>
    <row r="207" spans="1:45" x14ac:dyDescent="0.25">
      <c r="A207">
        <v>34187</v>
      </c>
      <c r="B207" t="s">
        <v>739</v>
      </c>
      <c r="C207" s="85" t="str">
        <f>VLOOKUP(A207,ADM!$A$1:$N$343,14,0)</f>
        <v>CC Du Minervois au Caroux en Haut-Languedoc</v>
      </c>
      <c r="F207" t="s">
        <v>113</v>
      </c>
      <c r="H207">
        <v>8</v>
      </c>
      <c r="I207" t="s">
        <v>114</v>
      </c>
      <c r="J207" t="s">
        <v>114</v>
      </c>
      <c r="K207" t="s">
        <v>114</v>
      </c>
      <c r="L207" t="s">
        <v>114</v>
      </c>
      <c r="M207">
        <v>0</v>
      </c>
      <c r="N207">
        <v>3</v>
      </c>
      <c r="O207">
        <v>1</v>
      </c>
      <c r="P207">
        <v>0</v>
      </c>
      <c r="Q207">
        <v>0</v>
      </c>
      <c r="R207">
        <v>0</v>
      </c>
      <c r="S207">
        <v>7</v>
      </c>
      <c r="T207">
        <v>1</v>
      </c>
      <c r="U207">
        <v>0</v>
      </c>
      <c r="V207">
        <v>14.2857</v>
      </c>
      <c r="W207">
        <v>0</v>
      </c>
      <c r="X207" s="1">
        <v>0.02</v>
      </c>
      <c r="Y207">
        <v>3</v>
      </c>
      <c r="Z207">
        <v>2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3</v>
      </c>
      <c r="AQ207" t="s">
        <v>365</v>
      </c>
      <c r="AR207" t="s">
        <v>145</v>
      </c>
      <c r="AS207">
        <v>4</v>
      </c>
    </row>
    <row r="208" spans="1:45" x14ac:dyDescent="0.25">
      <c r="A208">
        <v>34188</v>
      </c>
      <c r="B208" t="s">
        <v>741</v>
      </c>
      <c r="C208" s="85" t="str">
        <f>VLOOKUP(A208,ADM!$A$1:$N$343,14,0)</f>
        <v>CC Lodévois et Larzac</v>
      </c>
      <c r="F208" t="s">
        <v>113</v>
      </c>
      <c r="H208">
        <v>0</v>
      </c>
      <c r="I208" t="s">
        <v>114</v>
      </c>
      <c r="J208" t="s">
        <v>114</v>
      </c>
      <c r="K208" t="s">
        <v>114</v>
      </c>
      <c r="L208" t="s">
        <v>114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1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3</v>
      </c>
      <c r="AQ208" t="s">
        <v>145</v>
      </c>
      <c r="AR208" t="s">
        <v>145</v>
      </c>
      <c r="AS208">
        <v>4</v>
      </c>
    </row>
    <row r="209" spans="1:45" x14ac:dyDescent="0.25">
      <c r="A209">
        <v>34189</v>
      </c>
      <c r="B209" t="s">
        <v>743</v>
      </c>
      <c r="C209" s="85" t="str">
        <f>VLOOKUP(A209,ADM!$A$1:$N$343,14,0)</f>
        <v>CC Du Minervois au Caroux en Haut-Languedoc</v>
      </c>
      <c r="F209" t="s">
        <v>113</v>
      </c>
      <c r="H209">
        <v>0</v>
      </c>
      <c r="I209" t="s">
        <v>114</v>
      </c>
      <c r="J209" t="s">
        <v>114</v>
      </c>
      <c r="K209" t="s">
        <v>114</v>
      </c>
      <c r="L209" t="s">
        <v>114</v>
      </c>
      <c r="M209">
        <v>0</v>
      </c>
      <c r="N209">
        <v>1</v>
      </c>
      <c r="O209">
        <v>1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1">
        <v>0</v>
      </c>
      <c r="Y209">
        <v>4</v>
      </c>
      <c r="Z209">
        <v>0</v>
      </c>
      <c r="AA209">
        <v>2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3</v>
      </c>
      <c r="AQ209" t="s">
        <v>145</v>
      </c>
      <c r="AR209" t="s">
        <v>145</v>
      </c>
      <c r="AS209">
        <v>3</v>
      </c>
    </row>
    <row r="210" spans="1:45" x14ac:dyDescent="0.25">
      <c r="A210">
        <v>34190</v>
      </c>
      <c r="B210" t="s">
        <v>745</v>
      </c>
      <c r="C210" s="85" t="str">
        <f>VLOOKUP(A210,ADM!$A$1:$N$343,14,0)</f>
        <v>CC Du Minervois au Caroux en Haut-Languedoc</v>
      </c>
      <c r="F210" t="s">
        <v>113</v>
      </c>
      <c r="H210">
        <v>7</v>
      </c>
      <c r="I210" t="s">
        <v>114</v>
      </c>
      <c r="J210" t="s">
        <v>114</v>
      </c>
      <c r="K210">
        <v>0.66666666699999999</v>
      </c>
      <c r="L210" t="s">
        <v>114</v>
      </c>
      <c r="M210">
        <v>0</v>
      </c>
      <c r="N210">
        <v>1</v>
      </c>
      <c r="O210">
        <v>2</v>
      </c>
      <c r="P210">
        <v>0</v>
      </c>
      <c r="Q210">
        <v>0</v>
      </c>
      <c r="R210">
        <v>2</v>
      </c>
      <c r="S210">
        <v>5</v>
      </c>
      <c r="T210">
        <v>0</v>
      </c>
      <c r="U210">
        <v>0</v>
      </c>
      <c r="V210">
        <v>14.2857</v>
      </c>
      <c r="W210">
        <v>28.571400000000001</v>
      </c>
      <c r="X210" s="1">
        <v>0.06</v>
      </c>
      <c r="Y210">
        <v>1</v>
      </c>
      <c r="Z210">
        <v>2</v>
      </c>
      <c r="AA210">
        <v>3</v>
      </c>
      <c r="AB210">
        <v>3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3</v>
      </c>
      <c r="AQ210" t="s">
        <v>338</v>
      </c>
      <c r="AR210" t="s">
        <v>299</v>
      </c>
      <c r="AS210">
        <v>3</v>
      </c>
    </row>
    <row r="211" spans="1:45" x14ac:dyDescent="0.25">
      <c r="A211">
        <v>34191</v>
      </c>
      <c r="B211" t="s">
        <v>747</v>
      </c>
      <c r="C211" s="85" t="str">
        <f>VLOOKUP(A211,ADM!$A$1:$N$343,14,0)</f>
        <v>CC les Avant-Monts</v>
      </c>
      <c r="F211" t="s">
        <v>113</v>
      </c>
      <c r="H211">
        <v>0</v>
      </c>
      <c r="I211" t="s">
        <v>114</v>
      </c>
      <c r="J211" t="s">
        <v>114</v>
      </c>
      <c r="K211" t="s">
        <v>114</v>
      </c>
      <c r="L211" t="s">
        <v>114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 s="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3</v>
      </c>
      <c r="AQ211" t="s">
        <v>145</v>
      </c>
      <c r="AR211" t="s">
        <v>145</v>
      </c>
      <c r="AS211">
        <v>3</v>
      </c>
    </row>
    <row r="212" spans="1:45" x14ac:dyDescent="0.25">
      <c r="A212">
        <v>34192</v>
      </c>
      <c r="B212" t="s">
        <v>749</v>
      </c>
      <c r="C212" s="85" t="str">
        <f>VLOOKUP(A212,ADM!$A$1:$N$343,14,0)</f>
        <v>CA du Pays de l'Or</v>
      </c>
      <c r="F212" t="s">
        <v>113</v>
      </c>
      <c r="H212">
        <v>331</v>
      </c>
      <c r="I212">
        <v>27</v>
      </c>
      <c r="J212">
        <v>28</v>
      </c>
      <c r="K212">
        <v>47.5</v>
      </c>
      <c r="L212">
        <v>12</v>
      </c>
      <c r="M212">
        <v>27</v>
      </c>
      <c r="N212">
        <v>112</v>
      </c>
      <c r="O212">
        <v>95</v>
      </c>
      <c r="P212">
        <v>36</v>
      </c>
      <c r="Q212">
        <v>15</v>
      </c>
      <c r="R212">
        <v>86</v>
      </c>
      <c r="S212">
        <v>157</v>
      </c>
      <c r="T212">
        <v>65</v>
      </c>
      <c r="U212">
        <v>8</v>
      </c>
      <c r="V212">
        <v>0</v>
      </c>
      <c r="W212">
        <v>4.2683</v>
      </c>
      <c r="X212" s="1">
        <v>0.1</v>
      </c>
      <c r="Y212">
        <v>338</v>
      </c>
      <c r="Z212">
        <v>11</v>
      </c>
      <c r="AA212">
        <v>298</v>
      </c>
      <c r="AB212">
        <v>10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3</v>
      </c>
      <c r="AQ212" t="s">
        <v>751</v>
      </c>
      <c r="AR212" t="s">
        <v>752</v>
      </c>
      <c r="AS212">
        <v>1</v>
      </c>
    </row>
    <row r="213" spans="1:45" x14ac:dyDescent="0.25">
      <c r="A213">
        <v>34193</v>
      </c>
      <c r="B213" t="s">
        <v>753</v>
      </c>
      <c r="C213" s="85" t="str">
        <f>VLOOKUP(A213,ADM!$A$1:$N$343,14,0)</f>
        <v>CC Du Minervois au Caroux en Haut-Languedoc</v>
      </c>
      <c r="F213" t="s">
        <v>113</v>
      </c>
      <c r="H213">
        <v>0</v>
      </c>
      <c r="I213" t="s">
        <v>114</v>
      </c>
      <c r="J213" t="s">
        <v>114</v>
      </c>
      <c r="K213" t="s">
        <v>114</v>
      </c>
      <c r="L213" t="s">
        <v>114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 s="1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3</v>
      </c>
      <c r="AQ213" t="s">
        <v>145</v>
      </c>
      <c r="AR213" t="s">
        <v>145</v>
      </c>
      <c r="AS213">
        <v>4</v>
      </c>
    </row>
    <row r="214" spans="1:45" x14ac:dyDescent="0.25">
      <c r="A214">
        <v>34194</v>
      </c>
      <c r="B214" t="s">
        <v>755</v>
      </c>
      <c r="C214" s="85" t="str">
        <f>VLOOKUP(A214,ADM!$A$1:$N$343,14,0)</f>
        <v>CC du Clermontais</v>
      </c>
      <c r="F214" t="s">
        <v>113</v>
      </c>
      <c r="H214">
        <v>113</v>
      </c>
      <c r="I214" t="s">
        <v>114</v>
      </c>
      <c r="J214">
        <v>16</v>
      </c>
      <c r="K214">
        <v>13</v>
      </c>
      <c r="L214">
        <v>3.5</v>
      </c>
      <c r="M214">
        <v>3</v>
      </c>
      <c r="N214">
        <v>16</v>
      </c>
      <c r="O214">
        <v>26</v>
      </c>
      <c r="P214">
        <v>14</v>
      </c>
      <c r="Q214">
        <v>0</v>
      </c>
      <c r="R214">
        <v>8</v>
      </c>
      <c r="S214">
        <v>25</v>
      </c>
      <c r="T214">
        <v>56</v>
      </c>
      <c r="U214">
        <v>24</v>
      </c>
      <c r="V214">
        <v>3.7736000000000001</v>
      </c>
      <c r="W214">
        <v>5.6604000000000001</v>
      </c>
      <c r="X214" s="1">
        <v>7.0000000000000007E-2</v>
      </c>
      <c r="Y214">
        <v>48</v>
      </c>
      <c r="Z214">
        <v>6</v>
      </c>
      <c r="AA214">
        <v>61</v>
      </c>
      <c r="AB214">
        <v>7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3</v>
      </c>
      <c r="AQ214" t="s">
        <v>405</v>
      </c>
      <c r="AR214" t="s">
        <v>434</v>
      </c>
      <c r="AS214">
        <v>2</v>
      </c>
    </row>
    <row r="215" spans="1:45" x14ac:dyDescent="0.25">
      <c r="A215">
        <v>34195</v>
      </c>
      <c r="B215" t="s">
        <v>757</v>
      </c>
      <c r="C215" s="85" t="str">
        <f>VLOOKUP(A215,ADM!$A$1:$N$343,14,0)</f>
        <v>CC du Grand Pic Saint-Loup</v>
      </c>
      <c r="F215" t="s">
        <v>113</v>
      </c>
      <c r="H215">
        <v>0</v>
      </c>
      <c r="I215" t="s">
        <v>114</v>
      </c>
      <c r="J215" t="s">
        <v>114</v>
      </c>
      <c r="K215" t="s">
        <v>114</v>
      </c>
      <c r="L215" t="s">
        <v>114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 s="1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3</v>
      </c>
      <c r="AQ215" t="s">
        <v>145</v>
      </c>
      <c r="AR215" t="s">
        <v>145</v>
      </c>
      <c r="AS215">
        <v>4</v>
      </c>
    </row>
    <row r="216" spans="1:45" x14ac:dyDescent="0.25">
      <c r="A216">
        <v>34196</v>
      </c>
      <c r="B216" t="s">
        <v>759</v>
      </c>
      <c r="C216" s="85" t="str">
        <f>VLOOKUP(A216,ADM!$A$1:$N$343,14,0)</f>
        <v>CC Lodévois et Larzac</v>
      </c>
      <c r="F216" t="s">
        <v>113</v>
      </c>
      <c r="H216">
        <v>0</v>
      </c>
      <c r="I216" t="s">
        <v>114</v>
      </c>
      <c r="J216" t="s">
        <v>114</v>
      </c>
      <c r="K216" t="s">
        <v>114</v>
      </c>
      <c r="L216" t="s">
        <v>114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 s="1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3</v>
      </c>
      <c r="AQ216" t="s">
        <v>145</v>
      </c>
      <c r="AR216" t="s">
        <v>145</v>
      </c>
      <c r="AS216">
        <v>4</v>
      </c>
    </row>
    <row r="217" spans="1:45" x14ac:dyDescent="0.25">
      <c r="A217">
        <v>34197</v>
      </c>
      <c r="B217" t="s">
        <v>761</v>
      </c>
      <c r="C217" s="85" t="str">
        <f>VLOOKUP(A217,ADM!$A$1:$N$343,14,0)</f>
        <v>CC du Clermontais</v>
      </c>
      <c r="F217" t="s">
        <v>113</v>
      </c>
      <c r="H217">
        <v>12</v>
      </c>
      <c r="I217" t="s">
        <v>114</v>
      </c>
      <c r="J217" t="s">
        <v>114</v>
      </c>
      <c r="K217">
        <v>1.5</v>
      </c>
      <c r="L217">
        <v>3</v>
      </c>
      <c r="M217">
        <v>1</v>
      </c>
      <c r="N217">
        <v>1</v>
      </c>
      <c r="O217">
        <v>6</v>
      </c>
      <c r="P217">
        <v>3</v>
      </c>
      <c r="Q217">
        <v>0</v>
      </c>
      <c r="R217">
        <v>0</v>
      </c>
      <c r="S217">
        <v>5</v>
      </c>
      <c r="T217">
        <v>6</v>
      </c>
      <c r="U217">
        <v>1</v>
      </c>
      <c r="V217">
        <v>0</v>
      </c>
      <c r="W217">
        <v>25</v>
      </c>
      <c r="X217" s="1">
        <v>0.03</v>
      </c>
      <c r="Y217">
        <v>14</v>
      </c>
      <c r="Z217">
        <v>2</v>
      </c>
      <c r="AA217">
        <v>12</v>
      </c>
      <c r="AB217">
        <v>5</v>
      </c>
      <c r="AC217">
        <v>0</v>
      </c>
      <c r="AD217">
        <v>2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3</v>
      </c>
      <c r="AO217">
        <v>0</v>
      </c>
      <c r="AP217">
        <v>3</v>
      </c>
      <c r="AQ217" t="s">
        <v>554</v>
      </c>
      <c r="AR217" t="s">
        <v>763</v>
      </c>
      <c r="AS217">
        <v>3</v>
      </c>
    </row>
    <row r="218" spans="1:45" x14ac:dyDescent="0.25">
      <c r="A218">
        <v>34200</v>
      </c>
      <c r="B218" t="s">
        <v>773</v>
      </c>
      <c r="C218" s="85" t="str">
        <f>VLOOKUP(A218,ADM!$A$1:$N$343,14,0)</f>
        <v>CC Grand Orb en Languedoc</v>
      </c>
      <c r="F218" t="s">
        <v>113</v>
      </c>
      <c r="H218">
        <v>0</v>
      </c>
      <c r="I218" t="s">
        <v>114</v>
      </c>
      <c r="J218" t="s">
        <v>114</v>
      </c>
      <c r="K218" t="s">
        <v>114</v>
      </c>
      <c r="L218" t="s">
        <v>114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 s="1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3</v>
      </c>
      <c r="AQ218" t="s">
        <v>145</v>
      </c>
      <c r="AR218" t="s">
        <v>145</v>
      </c>
      <c r="AS218">
        <v>4</v>
      </c>
    </row>
    <row r="219" spans="1:45" x14ac:dyDescent="0.25">
      <c r="A219">
        <v>34201</v>
      </c>
      <c r="B219" t="s">
        <v>775</v>
      </c>
      <c r="C219" s="85" t="str">
        <f>VLOOKUP(A219,ADM!$A$1:$N$343,14,0)</f>
        <v>CC Sud-Hérault</v>
      </c>
      <c r="F219" t="s">
        <v>113</v>
      </c>
      <c r="H219">
        <v>0</v>
      </c>
      <c r="I219" t="s">
        <v>114</v>
      </c>
      <c r="J219" t="s">
        <v>114</v>
      </c>
      <c r="K219" t="s">
        <v>114</v>
      </c>
      <c r="L219" t="s">
        <v>114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 s="1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3</v>
      </c>
      <c r="AQ219" t="s">
        <v>145</v>
      </c>
      <c r="AR219" t="s">
        <v>145</v>
      </c>
      <c r="AS219">
        <v>4</v>
      </c>
    </row>
    <row r="220" spans="1:45" x14ac:dyDescent="0.25">
      <c r="A220">
        <v>34203</v>
      </c>
      <c r="B220" t="s">
        <v>781</v>
      </c>
      <c r="C220" s="85" t="str">
        <f>VLOOKUP(A220,ADM!$A$1:$N$343,14,0)</f>
        <v>CA Hérault-Méditerranée</v>
      </c>
      <c r="F220" t="s">
        <v>113</v>
      </c>
      <c r="H220">
        <v>48</v>
      </c>
      <c r="I220" t="s">
        <v>114</v>
      </c>
      <c r="J220">
        <v>1.5</v>
      </c>
      <c r="K220">
        <v>1.4</v>
      </c>
      <c r="L220" t="s">
        <v>114</v>
      </c>
      <c r="M220">
        <v>3</v>
      </c>
      <c r="N220">
        <v>6</v>
      </c>
      <c r="O220">
        <v>7</v>
      </c>
      <c r="P220">
        <v>6</v>
      </c>
      <c r="Q220">
        <v>0</v>
      </c>
      <c r="R220">
        <v>7</v>
      </c>
      <c r="S220">
        <v>28</v>
      </c>
      <c r="T220">
        <v>12</v>
      </c>
      <c r="U220">
        <v>1</v>
      </c>
      <c r="V220">
        <v>0</v>
      </c>
      <c r="W220">
        <v>4.8780000000000001</v>
      </c>
      <c r="X220" s="1">
        <v>0.06</v>
      </c>
      <c r="Y220">
        <v>32</v>
      </c>
      <c r="Z220">
        <v>6</v>
      </c>
      <c r="AA220">
        <v>26</v>
      </c>
      <c r="AB220">
        <v>9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3</v>
      </c>
      <c r="AQ220" t="s">
        <v>783</v>
      </c>
      <c r="AR220" t="s">
        <v>784</v>
      </c>
      <c r="AS220">
        <v>3</v>
      </c>
    </row>
    <row r="221" spans="1:45" x14ac:dyDescent="0.25">
      <c r="A221">
        <v>34204</v>
      </c>
      <c r="B221" t="s">
        <v>785</v>
      </c>
      <c r="C221" s="85" t="str">
        <f>VLOOKUP(A221,ADM!$A$1:$N$343,14,0)</f>
        <v>CC Vallée de l'hérault</v>
      </c>
      <c r="F221" t="s">
        <v>113</v>
      </c>
      <c r="H221">
        <v>19</v>
      </c>
      <c r="I221" t="s">
        <v>114</v>
      </c>
      <c r="J221" t="s">
        <v>114</v>
      </c>
      <c r="K221">
        <v>9</v>
      </c>
      <c r="L221" t="s">
        <v>114</v>
      </c>
      <c r="M221">
        <v>0</v>
      </c>
      <c r="N221">
        <v>7</v>
      </c>
      <c r="O221">
        <v>9</v>
      </c>
      <c r="P221">
        <v>4</v>
      </c>
      <c r="Q221">
        <v>0</v>
      </c>
      <c r="R221">
        <v>2</v>
      </c>
      <c r="S221">
        <v>8</v>
      </c>
      <c r="T221">
        <v>7</v>
      </c>
      <c r="U221">
        <v>2</v>
      </c>
      <c r="V221">
        <v>0</v>
      </c>
      <c r="W221">
        <v>5.2632000000000003</v>
      </c>
      <c r="X221" s="1">
        <v>0.04</v>
      </c>
      <c r="Y221">
        <v>18</v>
      </c>
      <c r="Z221">
        <v>5</v>
      </c>
      <c r="AA221">
        <v>22</v>
      </c>
      <c r="AB221">
        <v>1</v>
      </c>
      <c r="AC221">
        <v>0</v>
      </c>
      <c r="AD221">
        <v>4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7</v>
      </c>
      <c r="AO221">
        <v>0</v>
      </c>
      <c r="AP221">
        <v>3</v>
      </c>
      <c r="AQ221" t="s">
        <v>787</v>
      </c>
      <c r="AR221" t="s">
        <v>550</v>
      </c>
      <c r="AS221">
        <v>3</v>
      </c>
    </row>
    <row r="222" spans="1:45" x14ac:dyDescent="0.25">
      <c r="A222">
        <v>34205</v>
      </c>
      <c r="B222" t="s">
        <v>788</v>
      </c>
      <c r="C222" s="85" t="str">
        <f>VLOOKUP(A222,ADM!$A$1:$N$343,14,0)</f>
        <v>CC Lodévois et Larzac</v>
      </c>
      <c r="F222" t="s">
        <v>113</v>
      </c>
      <c r="H222">
        <v>0</v>
      </c>
      <c r="I222" t="s">
        <v>114</v>
      </c>
      <c r="J222" t="s">
        <v>114</v>
      </c>
      <c r="K222" t="s">
        <v>114</v>
      </c>
      <c r="L222" t="s">
        <v>114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 s="1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3</v>
      </c>
      <c r="AQ222" t="s">
        <v>145</v>
      </c>
      <c r="AR222" t="s">
        <v>145</v>
      </c>
      <c r="AS222">
        <v>3</v>
      </c>
    </row>
    <row r="223" spans="1:45" x14ac:dyDescent="0.25">
      <c r="A223">
        <v>34206</v>
      </c>
      <c r="B223" t="s">
        <v>790</v>
      </c>
      <c r="C223" s="85" t="str">
        <f>VLOOKUP(A223,ADM!$A$1:$N$343,14,0)</f>
        <v>CC Sud-Hérault</v>
      </c>
      <c r="F223" t="s">
        <v>113</v>
      </c>
      <c r="H223">
        <v>7</v>
      </c>
      <c r="I223" t="s">
        <v>114</v>
      </c>
      <c r="J223" t="s">
        <v>114</v>
      </c>
      <c r="K223" t="s">
        <v>114</v>
      </c>
      <c r="L223" t="s">
        <v>114</v>
      </c>
      <c r="M223">
        <v>0</v>
      </c>
      <c r="N223">
        <v>0</v>
      </c>
      <c r="O223">
        <v>2</v>
      </c>
      <c r="P223">
        <v>0</v>
      </c>
      <c r="Q223">
        <v>1</v>
      </c>
      <c r="R223">
        <v>1</v>
      </c>
      <c r="S223">
        <v>4</v>
      </c>
      <c r="T223">
        <v>1</v>
      </c>
      <c r="U223">
        <v>0</v>
      </c>
      <c r="V223">
        <v>28.571400000000001</v>
      </c>
      <c r="W223">
        <v>0</v>
      </c>
      <c r="X223" s="1">
        <v>0.03</v>
      </c>
      <c r="Y223">
        <v>4</v>
      </c>
      <c r="Z223">
        <v>0</v>
      </c>
      <c r="AA223">
        <v>2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3</v>
      </c>
      <c r="AQ223" t="s">
        <v>145</v>
      </c>
      <c r="AR223" t="s">
        <v>145</v>
      </c>
      <c r="AS223">
        <v>3</v>
      </c>
    </row>
    <row r="224" spans="1:45" x14ac:dyDescent="0.25">
      <c r="A224">
        <v>34207</v>
      </c>
      <c r="B224" t="s">
        <v>792</v>
      </c>
      <c r="C224" s="85" t="str">
        <f>VLOOKUP(A224,ADM!$A$1:$N$343,14,0)</f>
        <v>CA Hérault-Méditerranée</v>
      </c>
      <c r="F224" t="s">
        <v>113</v>
      </c>
      <c r="H224">
        <v>7</v>
      </c>
      <c r="I224" t="s">
        <v>114</v>
      </c>
      <c r="J224" t="s">
        <v>114</v>
      </c>
      <c r="K224" t="s">
        <v>114</v>
      </c>
      <c r="L224" t="s">
        <v>114</v>
      </c>
      <c r="M224">
        <v>0</v>
      </c>
      <c r="N224">
        <v>0</v>
      </c>
      <c r="O224">
        <v>8</v>
      </c>
      <c r="P224">
        <v>2</v>
      </c>
      <c r="Q224">
        <v>0</v>
      </c>
      <c r="R224">
        <v>2</v>
      </c>
      <c r="S224">
        <v>5</v>
      </c>
      <c r="T224">
        <v>0</v>
      </c>
      <c r="U224">
        <v>0</v>
      </c>
      <c r="V224">
        <v>0</v>
      </c>
      <c r="W224">
        <v>0</v>
      </c>
      <c r="X224" s="1">
        <v>0.01</v>
      </c>
      <c r="Y224">
        <v>12</v>
      </c>
      <c r="Z224">
        <v>1</v>
      </c>
      <c r="AA224">
        <v>12</v>
      </c>
      <c r="AB224">
        <v>0</v>
      </c>
      <c r="AC224">
        <v>0</v>
      </c>
      <c r="AD224">
        <v>12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46</v>
      </c>
      <c r="AM224">
        <v>0</v>
      </c>
      <c r="AN224">
        <v>24</v>
      </c>
      <c r="AO224">
        <v>0</v>
      </c>
      <c r="AP224">
        <v>3</v>
      </c>
      <c r="AQ224" t="s">
        <v>127</v>
      </c>
      <c r="AR224" t="s">
        <v>145</v>
      </c>
      <c r="AS224">
        <v>2</v>
      </c>
    </row>
    <row r="225" spans="1:45" x14ac:dyDescent="0.25">
      <c r="A225">
        <v>34208</v>
      </c>
      <c r="B225" t="s">
        <v>794</v>
      </c>
      <c r="C225" s="85" t="str">
        <f>VLOOKUP(A225,ADM!$A$1:$N$343,14,0)</f>
        <v>CC Vallée de l'hérault</v>
      </c>
      <c r="F225" t="s">
        <v>113</v>
      </c>
      <c r="H225">
        <v>0</v>
      </c>
      <c r="I225" t="s">
        <v>114</v>
      </c>
      <c r="J225" t="s">
        <v>114</v>
      </c>
      <c r="K225" t="s">
        <v>114</v>
      </c>
      <c r="L225" t="s">
        <v>114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 s="1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3</v>
      </c>
      <c r="AQ225" t="s">
        <v>145</v>
      </c>
      <c r="AR225" t="s">
        <v>145</v>
      </c>
      <c r="AS225">
        <v>3</v>
      </c>
    </row>
    <row r="226" spans="1:45" x14ac:dyDescent="0.25">
      <c r="A226">
        <v>34209</v>
      </c>
      <c r="B226" t="s">
        <v>796</v>
      </c>
      <c r="C226" s="85" t="str">
        <f>VLOOKUP(A226,ADM!$A$1:$N$343,14,0)</f>
        <v>CA Hérault-Méditerranée</v>
      </c>
      <c r="F226" t="s">
        <v>113</v>
      </c>
      <c r="H226">
        <v>106</v>
      </c>
      <c r="I226" t="s">
        <v>114</v>
      </c>
      <c r="J226" t="s">
        <v>114</v>
      </c>
      <c r="K226">
        <v>3.8</v>
      </c>
      <c r="L226">
        <v>1.75</v>
      </c>
      <c r="M226">
        <v>5</v>
      </c>
      <c r="N226">
        <v>17</v>
      </c>
      <c r="O226">
        <v>19</v>
      </c>
      <c r="P226">
        <v>7</v>
      </c>
      <c r="Q226">
        <v>0</v>
      </c>
      <c r="R226">
        <v>3</v>
      </c>
      <c r="S226">
        <v>60</v>
      </c>
      <c r="T226">
        <v>39</v>
      </c>
      <c r="U226">
        <v>4</v>
      </c>
      <c r="V226">
        <v>0</v>
      </c>
      <c r="W226">
        <v>4.9504999999999999</v>
      </c>
      <c r="X226" s="1">
        <v>7.0000000000000007E-2</v>
      </c>
      <c r="Y226">
        <v>60</v>
      </c>
      <c r="Z226">
        <v>7</v>
      </c>
      <c r="AA226">
        <v>54</v>
      </c>
      <c r="AB226">
        <v>9</v>
      </c>
      <c r="AC226">
        <v>0</v>
      </c>
      <c r="AD226">
        <v>2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3</v>
      </c>
      <c r="AO226">
        <v>0</v>
      </c>
      <c r="AP226">
        <v>3</v>
      </c>
      <c r="AQ226" t="s">
        <v>626</v>
      </c>
      <c r="AR226" t="s">
        <v>579</v>
      </c>
      <c r="AS226">
        <v>1</v>
      </c>
    </row>
    <row r="227" spans="1:45" x14ac:dyDescent="0.25">
      <c r="A227">
        <v>34210</v>
      </c>
      <c r="B227" t="s">
        <v>798</v>
      </c>
      <c r="C227" s="85" t="str">
        <f>VLOOKUP(A227,ADM!$A$1:$N$343,14,0)</f>
        <v>CC Vallée de l'hérault</v>
      </c>
      <c r="F227" t="s">
        <v>113</v>
      </c>
      <c r="H227">
        <v>26</v>
      </c>
      <c r="I227" t="s">
        <v>114</v>
      </c>
      <c r="J227" t="s">
        <v>114</v>
      </c>
      <c r="K227" t="s">
        <v>114</v>
      </c>
      <c r="L227">
        <v>2</v>
      </c>
      <c r="M227">
        <v>2</v>
      </c>
      <c r="N227">
        <v>4</v>
      </c>
      <c r="O227">
        <v>2</v>
      </c>
      <c r="P227">
        <v>2</v>
      </c>
      <c r="Q227">
        <v>0</v>
      </c>
      <c r="R227">
        <v>5</v>
      </c>
      <c r="S227">
        <v>8</v>
      </c>
      <c r="T227">
        <v>13</v>
      </c>
      <c r="U227">
        <v>0</v>
      </c>
      <c r="V227">
        <v>0</v>
      </c>
      <c r="W227">
        <v>3.8462000000000001</v>
      </c>
      <c r="X227" s="1">
        <v>0.03</v>
      </c>
      <c r="Y227">
        <v>17</v>
      </c>
      <c r="Z227">
        <v>1</v>
      </c>
      <c r="AA227">
        <v>11</v>
      </c>
      <c r="AB227">
        <v>1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3</v>
      </c>
      <c r="AQ227" t="s">
        <v>245</v>
      </c>
      <c r="AR227" t="s">
        <v>800</v>
      </c>
      <c r="AS227">
        <v>3</v>
      </c>
    </row>
    <row r="228" spans="1:45" x14ac:dyDescent="0.25">
      <c r="A228">
        <v>34211</v>
      </c>
      <c r="B228" t="s">
        <v>801</v>
      </c>
      <c r="C228" s="85" t="str">
        <f>VLOOKUP(A228,ADM!$A$1:$N$343,14,0)</f>
        <v>CC Grand Orb en Languedoc</v>
      </c>
      <c r="F228" t="s">
        <v>113</v>
      </c>
      <c r="H228">
        <v>16</v>
      </c>
      <c r="I228" t="s">
        <v>114</v>
      </c>
      <c r="J228" t="s">
        <v>114</v>
      </c>
      <c r="K228">
        <v>1</v>
      </c>
      <c r="L228" t="s">
        <v>114</v>
      </c>
      <c r="M228">
        <v>2</v>
      </c>
      <c r="N228">
        <v>3</v>
      </c>
      <c r="O228">
        <v>2</v>
      </c>
      <c r="P228">
        <v>0</v>
      </c>
      <c r="Q228">
        <v>0</v>
      </c>
      <c r="R228">
        <v>1</v>
      </c>
      <c r="S228">
        <v>7</v>
      </c>
      <c r="T228">
        <v>8</v>
      </c>
      <c r="U228">
        <v>0</v>
      </c>
      <c r="V228">
        <v>0</v>
      </c>
      <c r="W228">
        <v>13.333299999999999</v>
      </c>
      <c r="X228" s="1">
        <v>0.03</v>
      </c>
      <c r="Y228">
        <v>11</v>
      </c>
      <c r="Z228">
        <v>2</v>
      </c>
      <c r="AA228">
        <v>7</v>
      </c>
      <c r="AB228">
        <v>2</v>
      </c>
      <c r="AC228">
        <v>0</v>
      </c>
      <c r="AD228">
        <v>4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8</v>
      </c>
      <c r="AO228">
        <v>0</v>
      </c>
      <c r="AP228">
        <v>3</v>
      </c>
      <c r="AQ228" t="s">
        <v>723</v>
      </c>
      <c r="AR228" t="s">
        <v>495</v>
      </c>
      <c r="AS228">
        <v>3</v>
      </c>
    </row>
    <row r="229" spans="1:45" x14ac:dyDescent="0.25">
      <c r="A229">
        <v>34212</v>
      </c>
      <c r="B229" t="s">
        <v>803</v>
      </c>
      <c r="C229" s="85" t="str">
        <f>VLOOKUP(A229,ADM!$A$1:$N$343,14,0)</f>
        <v>CC Lodévois et Larzac</v>
      </c>
      <c r="F229" t="s">
        <v>113</v>
      </c>
      <c r="H229">
        <v>0</v>
      </c>
      <c r="I229" t="s">
        <v>114</v>
      </c>
      <c r="J229" t="s">
        <v>114</v>
      </c>
      <c r="K229" t="s">
        <v>114</v>
      </c>
      <c r="L229" t="s">
        <v>114</v>
      </c>
      <c r="M229">
        <v>0</v>
      </c>
      <c r="N229">
        <v>1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 s="1">
        <v>0</v>
      </c>
      <c r="Y229">
        <v>1</v>
      </c>
      <c r="Z229">
        <v>0</v>
      </c>
      <c r="AA229">
        <v>1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3</v>
      </c>
      <c r="AQ229" t="s">
        <v>145</v>
      </c>
      <c r="AR229" t="s">
        <v>145</v>
      </c>
      <c r="AS229">
        <v>3</v>
      </c>
    </row>
    <row r="230" spans="1:45" x14ac:dyDescent="0.25">
      <c r="A230">
        <v>34214</v>
      </c>
      <c r="B230" t="s">
        <v>810</v>
      </c>
      <c r="C230" s="85" t="str">
        <f>VLOOKUP(A230,ADM!$A$1:$N$343,14,0)</f>
        <v>CC les Avant-Monts</v>
      </c>
      <c r="F230" t="s">
        <v>113</v>
      </c>
      <c r="H230">
        <v>4</v>
      </c>
      <c r="I230" t="s">
        <v>114</v>
      </c>
      <c r="J230">
        <v>2</v>
      </c>
      <c r="K230">
        <v>2</v>
      </c>
      <c r="L230" t="s">
        <v>114</v>
      </c>
      <c r="M230">
        <v>0</v>
      </c>
      <c r="N230">
        <v>2</v>
      </c>
      <c r="O230">
        <v>2</v>
      </c>
      <c r="P230">
        <v>1</v>
      </c>
      <c r="Q230">
        <v>0</v>
      </c>
      <c r="R230">
        <v>2</v>
      </c>
      <c r="S230">
        <v>2</v>
      </c>
      <c r="T230">
        <v>0</v>
      </c>
      <c r="U230">
        <v>0</v>
      </c>
      <c r="V230">
        <v>0</v>
      </c>
      <c r="W230">
        <v>33.333300000000001</v>
      </c>
      <c r="X230" s="1">
        <v>0.01</v>
      </c>
      <c r="Y230">
        <v>0</v>
      </c>
      <c r="Z230">
        <v>0</v>
      </c>
      <c r="AA230">
        <v>5</v>
      </c>
      <c r="AB230">
        <v>2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1</v>
      </c>
      <c r="AO230">
        <v>0</v>
      </c>
      <c r="AP230">
        <v>3</v>
      </c>
      <c r="AQ230" t="s">
        <v>145</v>
      </c>
      <c r="AR230" t="s">
        <v>304</v>
      </c>
      <c r="AS230">
        <v>3</v>
      </c>
    </row>
    <row r="231" spans="1:45" x14ac:dyDescent="0.25">
      <c r="A231">
        <v>34215</v>
      </c>
      <c r="B231" t="s">
        <v>812</v>
      </c>
      <c r="C231" s="85" t="str">
        <f>VLOOKUP(A231,ADM!$A$1:$N$343,14,0)</f>
        <v>CC Vallée de l'hérault</v>
      </c>
      <c r="F231" t="s">
        <v>113</v>
      </c>
      <c r="H231">
        <v>10</v>
      </c>
      <c r="I231" t="s">
        <v>114</v>
      </c>
      <c r="J231" t="s">
        <v>114</v>
      </c>
      <c r="K231" t="s">
        <v>114</v>
      </c>
      <c r="L231" t="s">
        <v>114</v>
      </c>
      <c r="M231">
        <v>0</v>
      </c>
      <c r="N231">
        <v>0</v>
      </c>
      <c r="O231">
        <v>0</v>
      </c>
      <c r="P231">
        <v>1</v>
      </c>
      <c r="Q231">
        <v>0</v>
      </c>
      <c r="R231">
        <v>0</v>
      </c>
      <c r="S231">
        <v>4</v>
      </c>
      <c r="T231">
        <v>6</v>
      </c>
      <c r="U231">
        <v>0</v>
      </c>
      <c r="V231">
        <v>0</v>
      </c>
      <c r="W231">
        <v>0</v>
      </c>
      <c r="X231" s="1">
        <v>0.03</v>
      </c>
      <c r="Y231">
        <v>7</v>
      </c>
      <c r="Z231">
        <v>1</v>
      </c>
      <c r="AA231">
        <v>1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3</v>
      </c>
      <c r="AQ231" t="s">
        <v>554</v>
      </c>
      <c r="AR231" t="s">
        <v>145</v>
      </c>
      <c r="AS231">
        <v>2</v>
      </c>
    </row>
    <row r="232" spans="1:45" x14ac:dyDescent="0.25">
      <c r="A232">
        <v>34216</v>
      </c>
      <c r="B232" t="s">
        <v>814</v>
      </c>
      <c r="C232" s="85" t="str">
        <f>VLOOKUP(A232,ADM!$A$1:$N$343,14,0)</f>
        <v>CC Grand Orb en Languedoc</v>
      </c>
      <c r="F232" t="s">
        <v>113</v>
      </c>
      <c r="H232">
        <v>0</v>
      </c>
      <c r="I232" t="s">
        <v>114</v>
      </c>
      <c r="J232" t="s">
        <v>114</v>
      </c>
      <c r="K232" t="s">
        <v>114</v>
      </c>
      <c r="L232" t="s">
        <v>114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 s="1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3</v>
      </c>
      <c r="AQ232" t="s">
        <v>145</v>
      </c>
      <c r="AR232" t="s">
        <v>145</v>
      </c>
      <c r="AS232">
        <v>4</v>
      </c>
    </row>
    <row r="233" spans="1:45" x14ac:dyDescent="0.25">
      <c r="A233">
        <v>34218</v>
      </c>
      <c r="B233" t="s">
        <v>820</v>
      </c>
      <c r="C233" s="85" t="str">
        <f>VLOOKUP(A233,ADM!$A$1:$N$343,14,0)</f>
        <v>CC Sud-Hérault</v>
      </c>
      <c r="F233" t="s">
        <v>113</v>
      </c>
      <c r="H233">
        <v>0</v>
      </c>
      <c r="I233" t="s">
        <v>114</v>
      </c>
      <c r="J233" t="s">
        <v>114</v>
      </c>
      <c r="K233" t="s">
        <v>114</v>
      </c>
      <c r="L233" t="s">
        <v>114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 s="1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3</v>
      </c>
      <c r="AQ233" t="s">
        <v>145</v>
      </c>
      <c r="AR233" t="s">
        <v>145</v>
      </c>
      <c r="AS233">
        <v>4</v>
      </c>
    </row>
    <row r="234" spans="1:45" x14ac:dyDescent="0.25">
      <c r="A234">
        <v>34219</v>
      </c>
      <c r="B234" t="s">
        <v>822</v>
      </c>
      <c r="C234" s="85" t="str">
        <f>VLOOKUP(A234,ADM!$A$1:$N$343,14,0)</f>
        <v>CC Du Minervois au Caroux en Haut-Languedoc</v>
      </c>
      <c r="F234" t="s">
        <v>113</v>
      </c>
      <c r="H234">
        <v>12</v>
      </c>
      <c r="I234" t="s">
        <v>114</v>
      </c>
      <c r="J234" t="s">
        <v>114</v>
      </c>
      <c r="K234" t="s">
        <v>114</v>
      </c>
      <c r="L234" t="s">
        <v>114</v>
      </c>
      <c r="M234">
        <v>0</v>
      </c>
      <c r="N234">
        <v>3</v>
      </c>
      <c r="O234">
        <v>0</v>
      </c>
      <c r="P234">
        <v>0</v>
      </c>
      <c r="Q234">
        <v>0</v>
      </c>
      <c r="R234">
        <v>0</v>
      </c>
      <c r="S234">
        <v>7</v>
      </c>
      <c r="T234">
        <v>5</v>
      </c>
      <c r="U234">
        <v>0</v>
      </c>
      <c r="V234">
        <v>18.181799999999999</v>
      </c>
      <c r="W234">
        <v>9.0908999999999995</v>
      </c>
      <c r="X234" s="1">
        <v>0.04</v>
      </c>
      <c r="Y234">
        <v>2</v>
      </c>
      <c r="Z234">
        <v>2</v>
      </c>
      <c r="AA234">
        <v>3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3</v>
      </c>
      <c r="AQ234" t="s">
        <v>299</v>
      </c>
      <c r="AR234" t="s">
        <v>145</v>
      </c>
      <c r="AS234">
        <v>4</v>
      </c>
    </row>
    <row r="235" spans="1:45" x14ac:dyDescent="0.25">
      <c r="A235">
        <v>34220</v>
      </c>
      <c r="B235" t="s">
        <v>824</v>
      </c>
      <c r="C235" s="85" t="str">
        <f>VLOOKUP(A235,ADM!$A$1:$N$343,14,0)</f>
        <v>CC Lodévois et Larzac</v>
      </c>
      <c r="F235" t="s">
        <v>113</v>
      </c>
      <c r="H235">
        <v>0</v>
      </c>
      <c r="I235" t="s">
        <v>114</v>
      </c>
      <c r="J235" t="s">
        <v>114</v>
      </c>
      <c r="K235" t="s">
        <v>114</v>
      </c>
      <c r="L235" t="s">
        <v>114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1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3</v>
      </c>
      <c r="AQ235" t="s">
        <v>145</v>
      </c>
      <c r="AR235" t="s">
        <v>145</v>
      </c>
      <c r="AS235">
        <v>4</v>
      </c>
    </row>
    <row r="236" spans="1:45" x14ac:dyDescent="0.25">
      <c r="A236">
        <v>34221</v>
      </c>
      <c r="B236" t="s">
        <v>826</v>
      </c>
      <c r="C236" s="85" t="str">
        <f>VLOOKUP(A236,ADM!$A$1:$N$343,14,0)</f>
        <v>CC Vallée de l'hérault</v>
      </c>
      <c r="F236" t="s">
        <v>113</v>
      </c>
      <c r="H236">
        <v>0</v>
      </c>
      <c r="I236" t="s">
        <v>114</v>
      </c>
      <c r="J236" t="s">
        <v>114</v>
      </c>
      <c r="K236" t="s">
        <v>114</v>
      </c>
      <c r="L236" t="s">
        <v>114</v>
      </c>
      <c r="M236">
        <v>0</v>
      </c>
      <c r="N236">
        <v>1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 s="1">
        <v>0</v>
      </c>
      <c r="Y236">
        <v>1</v>
      </c>
      <c r="Z236">
        <v>0</v>
      </c>
      <c r="AA236">
        <v>1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3</v>
      </c>
      <c r="AQ236" t="s">
        <v>145</v>
      </c>
      <c r="AR236" t="s">
        <v>145</v>
      </c>
      <c r="AS236">
        <v>4</v>
      </c>
    </row>
    <row r="237" spans="1:45" x14ac:dyDescent="0.25">
      <c r="A237">
        <v>34222</v>
      </c>
      <c r="B237" t="s">
        <v>828</v>
      </c>
      <c r="C237" s="85" t="str">
        <f>VLOOKUP(A237,ADM!$A$1:$N$343,14,0)</f>
        <v>CC Vallée de l'hérault</v>
      </c>
      <c r="F237" t="s">
        <v>113</v>
      </c>
      <c r="H237">
        <v>0</v>
      </c>
      <c r="I237" t="s">
        <v>114</v>
      </c>
      <c r="J237" t="s">
        <v>114</v>
      </c>
      <c r="K237" t="s">
        <v>114</v>
      </c>
      <c r="L237" t="s">
        <v>114</v>
      </c>
      <c r="M237">
        <v>0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1">
        <v>0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3</v>
      </c>
      <c r="AQ237" t="s">
        <v>145</v>
      </c>
      <c r="AR237" t="s">
        <v>145</v>
      </c>
      <c r="AS237">
        <v>3</v>
      </c>
    </row>
    <row r="238" spans="1:45" x14ac:dyDescent="0.25">
      <c r="A238">
        <v>34223</v>
      </c>
      <c r="B238" t="s">
        <v>830</v>
      </c>
      <c r="C238" s="85" t="str">
        <f>VLOOKUP(A238,ADM!$A$1:$N$343,14,0)</f>
        <v>CC les Avant-Monts</v>
      </c>
      <c r="F238" t="s">
        <v>113</v>
      </c>
      <c r="H238">
        <v>0</v>
      </c>
      <c r="I238" t="s">
        <v>114</v>
      </c>
      <c r="J238" t="s">
        <v>114</v>
      </c>
      <c r="K238" t="s">
        <v>114</v>
      </c>
      <c r="L238" t="s">
        <v>114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1">
        <v>0</v>
      </c>
      <c r="Y238">
        <v>1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3</v>
      </c>
      <c r="AQ238" t="s">
        <v>145</v>
      </c>
      <c r="AR238" t="s">
        <v>145</v>
      </c>
      <c r="AS238">
        <v>3</v>
      </c>
    </row>
    <row r="239" spans="1:45" x14ac:dyDescent="0.25">
      <c r="A239">
        <v>34224</v>
      </c>
      <c r="B239" t="s">
        <v>832</v>
      </c>
      <c r="C239" s="85" t="str">
        <f>VLOOKUP(A239,ADM!$A$1:$N$343,14,0)</f>
        <v>CC les Avant-Monts</v>
      </c>
      <c r="F239" t="s">
        <v>113</v>
      </c>
      <c r="H239">
        <v>0</v>
      </c>
      <c r="I239" t="s">
        <v>114</v>
      </c>
      <c r="J239" t="s">
        <v>114</v>
      </c>
      <c r="K239" t="s">
        <v>114</v>
      </c>
      <c r="L239" t="s">
        <v>114</v>
      </c>
      <c r="M239">
        <v>0</v>
      </c>
      <c r="N239">
        <v>1</v>
      </c>
      <c r="O239">
        <v>1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 s="1">
        <v>0</v>
      </c>
      <c r="Y239">
        <v>2</v>
      </c>
      <c r="Z239">
        <v>0</v>
      </c>
      <c r="AA239">
        <v>2</v>
      </c>
      <c r="AB239">
        <v>0</v>
      </c>
      <c r="AC239">
        <v>0</v>
      </c>
      <c r="AD239">
        <v>3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7</v>
      </c>
      <c r="AO239">
        <v>0</v>
      </c>
      <c r="AP239">
        <v>3</v>
      </c>
      <c r="AQ239" t="s">
        <v>145</v>
      </c>
      <c r="AR239" t="s">
        <v>145</v>
      </c>
      <c r="AS239">
        <v>3</v>
      </c>
    </row>
    <row r="240" spans="1:45" x14ac:dyDescent="0.25">
      <c r="A240">
        <v>34225</v>
      </c>
      <c r="B240" t="s">
        <v>834</v>
      </c>
      <c r="C240" s="85" t="str">
        <f>VLOOKUP(A240,ADM!$A$1:$N$343,14,0)</f>
        <v>CC Sud-Hérault</v>
      </c>
      <c r="F240" t="s">
        <v>113</v>
      </c>
      <c r="H240">
        <v>16</v>
      </c>
      <c r="I240" t="s">
        <v>114</v>
      </c>
      <c r="J240" t="s">
        <v>114</v>
      </c>
      <c r="K240" t="s">
        <v>114</v>
      </c>
      <c r="L240">
        <v>4</v>
      </c>
      <c r="M240">
        <v>1</v>
      </c>
      <c r="N240">
        <v>4</v>
      </c>
      <c r="O240">
        <v>7</v>
      </c>
      <c r="P240">
        <v>4</v>
      </c>
      <c r="Q240">
        <v>0</v>
      </c>
      <c r="R240">
        <v>2</v>
      </c>
      <c r="S240">
        <v>8</v>
      </c>
      <c r="T240">
        <v>6</v>
      </c>
      <c r="U240">
        <v>0</v>
      </c>
      <c r="V240">
        <v>0</v>
      </c>
      <c r="W240">
        <v>6.25</v>
      </c>
      <c r="X240" s="1">
        <v>0.01</v>
      </c>
      <c r="Y240">
        <v>22</v>
      </c>
      <c r="Z240">
        <v>0</v>
      </c>
      <c r="AA240">
        <v>19</v>
      </c>
      <c r="AB240">
        <v>1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3</v>
      </c>
      <c r="AQ240" t="s">
        <v>145</v>
      </c>
      <c r="AR240" t="s">
        <v>679</v>
      </c>
      <c r="AS240">
        <v>3</v>
      </c>
    </row>
    <row r="241" spans="1:45" x14ac:dyDescent="0.25">
      <c r="A241">
        <v>34226</v>
      </c>
      <c r="B241" t="s">
        <v>836</v>
      </c>
      <c r="C241" s="85" t="str">
        <f>VLOOKUP(A241,ADM!$A$1:$N$343,14,0)</f>
        <v>CC Sud-Hérault</v>
      </c>
      <c r="F241" t="s">
        <v>113</v>
      </c>
      <c r="H241">
        <v>10</v>
      </c>
      <c r="I241" t="s">
        <v>114</v>
      </c>
      <c r="J241" t="s">
        <v>114</v>
      </c>
      <c r="K241">
        <v>4</v>
      </c>
      <c r="L241">
        <v>0.5</v>
      </c>
      <c r="M241">
        <v>0</v>
      </c>
      <c r="N241">
        <v>2</v>
      </c>
      <c r="O241">
        <v>4</v>
      </c>
      <c r="P241">
        <v>1</v>
      </c>
      <c r="Q241">
        <v>0</v>
      </c>
      <c r="R241">
        <v>2</v>
      </c>
      <c r="S241">
        <v>6</v>
      </c>
      <c r="T241">
        <v>2</v>
      </c>
      <c r="U241">
        <v>0</v>
      </c>
      <c r="V241">
        <v>0</v>
      </c>
      <c r="W241">
        <v>30</v>
      </c>
      <c r="X241" s="1">
        <v>0.01</v>
      </c>
      <c r="Y241">
        <v>4</v>
      </c>
      <c r="Z241">
        <v>1</v>
      </c>
      <c r="AA241">
        <v>7</v>
      </c>
      <c r="AB241">
        <v>3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3</v>
      </c>
      <c r="AQ241" t="s">
        <v>442</v>
      </c>
      <c r="AR241" t="s">
        <v>838</v>
      </c>
      <c r="AS241">
        <v>4</v>
      </c>
    </row>
    <row r="242" spans="1:45" x14ac:dyDescent="0.25">
      <c r="A242">
        <v>34227</v>
      </c>
      <c r="B242" t="s">
        <v>839</v>
      </c>
      <c r="C242" s="85" t="str">
        <f>VLOOKUP(A242,ADM!$A$1:$N$343,14,0)</f>
        <v>Montpellier Méditerranée Métropole</v>
      </c>
      <c r="F242" t="s">
        <v>113</v>
      </c>
      <c r="H242">
        <v>53</v>
      </c>
      <c r="I242" t="s">
        <v>114</v>
      </c>
      <c r="J242" t="s">
        <v>114</v>
      </c>
      <c r="K242">
        <v>10</v>
      </c>
      <c r="L242">
        <v>1</v>
      </c>
      <c r="M242">
        <v>1</v>
      </c>
      <c r="N242">
        <v>9</v>
      </c>
      <c r="O242">
        <v>10</v>
      </c>
      <c r="P242">
        <v>2</v>
      </c>
      <c r="Q242">
        <v>0</v>
      </c>
      <c r="R242">
        <v>5</v>
      </c>
      <c r="S242">
        <v>21</v>
      </c>
      <c r="T242">
        <v>27</v>
      </c>
      <c r="U242">
        <v>0</v>
      </c>
      <c r="V242">
        <v>1.8868</v>
      </c>
      <c r="W242">
        <v>5.6604000000000001</v>
      </c>
      <c r="X242" s="1">
        <v>7.0000000000000007E-2</v>
      </c>
      <c r="Y242">
        <v>28</v>
      </c>
      <c r="Z242">
        <v>5</v>
      </c>
      <c r="AA242">
        <v>26</v>
      </c>
      <c r="AB242">
        <v>3</v>
      </c>
      <c r="AC242">
        <v>0</v>
      </c>
      <c r="AD242">
        <v>8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16</v>
      </c>
      <c r="AO242">
        <v>0</v>
      </c>
      <c r="AP242">
        <v>3</v>
      </c>
      <c r="AQ242" t="s">
        <v>841</v>
      </c>
      <c r="AR242" t="s">
        <v>393</v>
      </c>
      <c r="AS242">
        <v>2</v>
      </c>
    </row>
    <row r="243" spans="1:45" x14ac:dyDescent="0.25">
      <c r="A243">
        <v>34228</v>
      </c>
      <c r="B243" t="s">
        <v>842</v>
      </c>
      <c r="C243" s="85" t="str">
        <f>VLOOKUP(A243,ADM!$A$1:$N$343,14,0)</f>
        <v>CC Du Minervois au Caroux en Haut-Languedoc</v>
      </c>
      <c r="F243" t="s">
        <v>113</v>
      </c>
      <c r="H243">
        <v>0</v>
      </c>
      <c r="I243" t="s">
        <v>114</v>
      </c>
      <c r="J243" t="s">
        <v>114</v>
      </c>
      <c r="K243" t="s">
        <v>114</v>
      </c>
      <c r="L243" t="s">
        <v>114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 s="1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3</v>
      </c>
      <c r="AQ243" t="s">
        <v>145</v>
      </c>
      <c r="AR243" t="s">
        <v>145</v>
      </c>
      <c r="AS243">
        <v>4</v>
      </c>
    </row>
    <row r="244" spans="1:45" x14ac:dyDescent="0.25">
      <c r="A244">
        <v>34229</v>
      </c>
      <c r="B244" t="s">
        <v>844</v>
      </c>
      <c r="C244" s="85" t="str">
        <f>VLOOKUP(A244,ADM!$A$1:$N$343,14,0)</f>
        <v>CC Du Minervois au Caroux en Haut-Languedoc</v>
      </c>
      <c r="F244" t="s">
        <v>113</v>
      </c>
      <c r="H244">
        <v>0</v>
      </c>
      <c r="I244" t="s">
        <v>114</v>
      </c>
      <c r="J244" t="s">
        <v>114</v>
      </c>
      <c r="K244" t="s">
        <v>114</v>
      </c>
      <c r="L244" t="s">
        <v>114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 s="1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3</v>
      </c>
      <c r="AQ244" t="s">
        <v>145</v>
      </c>
      <c r="AR244" t="s">
        <v>145</v>
      </c>
      <c r="AS244">
        <v>4</v>
      </c>
    </row>
    <row r="245" spans="1:45" x14ac:dyDescent="0.25">
      <c r="A245">
        <v>34230</v>
      </c>
      <c r="B245" t="s">
        <v>846</v>
      </c>
      <c r="C245" s="85" t="str">
        <f>VLOOKUP(A245,ADM!$A$1:$N$343,14,0)</f>
        <v>CC Lodévois et Larzac</v>
      </c>
      <c r="F245" t="s">
        <v>113</v>
      </c>
      <c r="H245">
        <v>0</v>
      </c>
      <c r="I245" t="s">
        <v>114</v>
      </c>
      <c r="J245" t="s">
        <v>114</v>
      </c>
      <c r="K245" t="s">
        <v>114</v>
      </c>
      <c r="L245" t="s">
        <v>114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1">
        <v>0</v>
      </c>
      <c r="Y245">
        <v>1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3</v>
      </c>
      <c r="AQ245" t="s">
        <v>145</v>
      </c>
      <c r="AR245" t="s">
        <v>145</v>
      </c>
      <c r="AS245">
        <v>4</v>
      </c>
    </row>
    <row r="246" spans="1:45" x14ac:dyDescent="0.25">
      <c r="A246">
        <v>34231</v>
      </c>
      <c r="B246" t="s">
        <v>848</v>
      </c>
      <c r="C246" s="85" t="str">
        <f>VLOOKUP(A246,ADM!$A$1:$N$343,14,0)</f>
        <v>CC Lodévois et Larzac</v>
      </c>
      <c r="F246" t="s">
        <v>113</v>
      </c>
      <c r="H246">
        <v>0</v>
      </c>
      <c r="I246" t="s">
        <v>114</v>
      </c>
      <c r="J246" t="s">
        <v>114</v>
      </c>
      <c r="K246" t="s">
        <v>114</v>
      </c>
      <c r="L246" t="s">
        <v>114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 s="1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3</v>
      </c>
      <c r="AQ246" t="s">
        <v>145</v>
      </c>
      <c r="AR246" t="s">
        <v>145</v>
      </c>
      <c r="AS246">
        <v>4</v>
      </c>
    </row>
    <row r="247" spans="1:45" x14ac:dyDescent="0.25">
      <c r="A247">
        <v>34232</v>
      </c>
      <c r="B247" t="s">
        <v>850</v>
      </c>
      <c r="C247" s="85" t="str">
        <f>VLOOKUP(A247,ADM!$A$1:$N$343,14,0)</f>
        <v>CC Du Minervois au Caroux en Haut-Languedoc</v>
      </c>
      <c r="F247" t="s">
        <v>113</v>
      </c>
      <c r="H247">
        <v>8</v>
      </c>
      <c r="I247" t="s">
        <v>114</v>
      </c>
      <c r="J247" t="s">
        <v>114</v>
      </c>
      <c r="K247" t="s">
        <v>114</v>
      </c>
      <c r="L247" t="s">
        <v>114</v>
      </c>
      <c r="Q247">
        <v>0</v>
      </c>
      <c r="R247">
        <v>2</v>
      </c>
      <c r="S247">
        <v>3</v>
      </c>
      <c r="T247">
        <v>3</v>
      </c>
      <c r="U247">
        <v>0</v>
      </c>
      <c r="V247">
        <v>0</v>
      </c>
      <c r="W247">
        <v>0</v>
      </c>
      <c r="X247" s="1">
        <v>0.02</v>
      </c>
      <c r="Y247">
        <v>0</v>
      </c>
      <c r="Z247">
        <v>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3</v>
      </c>
      <c r="AQ247" t="s">
        <v>382</v>
      </c>
      <c r="AR247" t="s">
        <v>145</v>
      </c>
      <c r="AS247">
        <v>4</v>
      </c>
    </row>
    <row r="248" spans="1:45" x14ac:dyDescent="0.25">
      <c r="A248">
        <v>34233</v>
      </c>
      <c r="B248" t="s">
        <v>852</v>
      </c>
      <c r="C248" s="85" t="str">
        <f>VLOOKUP(A248,ADM!$A$1:$N$343,14,0)</f>
        <v>CC Lodévois et Larzac</v>
      </c>
      <c r="F248" t="s">
        <v>113</v>
      </c>
      <c r="H248">
        <v>0</v>
      </c>
      <c r="I248" t="s">
        <v>114</v>
      </c>
      <c r="J248" t="s">
        <v>114</v>
      </c>
      <c r="K248" t="s">
        <v>114</v>
      </c>
      <c r="L248" t="s">
        <v>114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 s="1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3</v>
      </c>
      <c r="AQ248" t="s">
        <v>145</v>
      </c>
      <c r="AR248" t="s">
        <v>145</v>
      </c>
      <c r="AS248">
        <v>4</v>
      </c>
    </row>
    <row r="249" spans="1:45" x14ac:dyDescent="0.25">
      <c r="A249">
        <v>34234</v>
      </c>
      <c r="B249" t="s">
        <v>854</v>
      </c>
      <c r="C249" s="85" t="str">
        <f>VLOOKUP(A249,ADM!$A$1:$N$343,14,0)</f>
        <v>CC les Avant-Monts</v>
      </c>
      <c r="F249" t="s">
        <v>113</v>
      </c>
      <c r="H249">
        <v>0</v>
      </c>
      <c r="I249" t="s">
        <v>114</v>
      </c>
      <c r="J249" t="s">
        <v>114</v>
      </c>
      <c r="K249" t="s">
        <v>114</v>
      </c>
      <c r="L249" t="s">
        <v>114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s="1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3</v>
      </c>
      <c r="AQ249" t="s">
        <v>145</v>
      </c>
      <c r="AR249" t="s">
        <v>145</v>
      </c>
      <c r="AS249">
        <v>4</v>
      </c>
    </row>
    <row r="250" spans="1:45" x14ac:dyDescent="0.25">
      <c r="A250">
        <v>34235</v>
      </c>
      <c r="B250" t="s">
        <v>856</v>
      </c>
      <c r="C250" s="85" t="str">
        <f>VLOOKUP(A250,ADM!$A$1:$N$343,14,0)</f>
        <v>CC des Monts de Lacaune et de la Montagne du Haut Languedoc</v>
      </c>
      <c r="F250" t="s">
        <v>113</v>
      </c>
      <c r="H250">
        <v>4</v>
      </c>
      <c r="I250" t="s">
        <v>114</v>
      </c>
      <c r="J250">
        <v>1</v>
      </c>
      <c r="K250" t="s">
        <v>114</v>
      </c>
      <c r="L250">
        <v>0</v>
      </c>
      <c r="M250">
        <v>1</v>
      </c>
      <c r="N250">
        <v>1</v>
      </c>
      <c r="O250">
        <v>0</v>
      </c>
      <c r="P250">
        <v>0</v>
      </c>
      <c r="Q250">
        <v>0</v>
      </c>
      <c r="R250">
        <v>2</v>
      </c>
      <c r="S250">
        <v>1</v>
      </c>
      <c r="T250">
        <v>1</v>
      </c>
      <c r="U250">
        <v>0</v>
      </c>
      <c r="V250">
        <v>0</v>
      </c>
      <c r="W250">
        <v>50</v>
      </c>
      <c r="X250" s="1">
        <v>0.03</v>
      </c>
      <c r="Y250">
        <v>0</v>
      </c>
      <c r="Z250">
        <v>2</v>
      </c>
      <c r="AA250">
        <v>2</v>
      </c>
      <c r="AB250">
        <v>2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3</v>
      </c>
      <c r="AQ250" t="s">
        <v>382</v>
      </c>
      <c r="AR250" t="s">
        <v>299</v>
      </c>
      <c r="AS250">
        <v>4</v>
      </c>
    </row>
    <row r="251" spans="1:45" x14ac:dyDescent="0.25">
      <c r="A251">
        <v>34236</v>
      </c>
      <c r="B251" t="s">
        <v>858</v>
      </c>
      <c r="C251" s="85" t="str">
        <f>VLOOKUP(A251,ADM!$A$1:$N$343,14,0)</f>
        <v>CC du Grand Pic Saint-Loup</v>
      </c>
      <c r="F251" t="s">
        <v>113</v>
      </c>
      <c r="H251">
        <v>0</v>
      </c>
      <c r="I251" t="s">
        <v>114</v>
      </c>
      <c r="J251" t="s">
        <v>114</v>
      </c>
      <c r="K251" t="s">
        <v>114</v>
      </c>
      <c r="L251" t="s">
        <v>114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s="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3</v>
      </c>
      <c r="AQ251" t="s">
        <v>145</v>
      </c>
      <c r="AR251" t="s">
        <v>145</v>
      </c>
      <c r="AS251">
        <v>3</v>
      </c>
    </row>
    <row r="252" spans="1:45" x14ac:dyDescent="0.25">
      <c r="A252">
        <v>34237</v>
      </c>
      <c r="B252" t="s">
        <v>860</v>
      </c>
      <c r="C252" s="85" t="str">
        <f>VLOOKUP(A252,ADM!$A$1:$N$343,14,0)</f>
        <v>CC les Avant-Monts</v>
      </c>
      <c r="F252" t="s">
        <v>113</v>
      </c>
      <c r="H252">
        <v>44</v>
      </c>
      <c r="I252" t="s">
        <v>114</v>
      </c>
      <c r="J252">
        <v>10</v>
      </c>
      <c r="K252">
        <v>5</v>
      </c>
      <c r="L252" t="s">
        <v>114</v>
      </c>
      <c r="M252">
        <v>1</v>
      </c>
      <c r="N252">
        <v>10</v>
      </c>
      <c r="O252">
        <v>5</v>
      </c>
      <c r="P252">
        <v>11</v>
      </c>
      <c r="Q252">
        <v>0</v>
      </c>
      <c r="R252">
        <v>6</v>
      </c>
      <c r="S252">
        <v>22</v>
      </c>
      <c r="T252">
        <v>15</v>
      </c>
      <c r="U252">
        <v>1</v>
      </c>
      <c r="V252">
        <v>0</v>
      </c>
      <c r="W252">
        <v>4.6512000000000002</v>
      </c>
      <c r="X252" s="1">
        <v>0.04</v>
      </c>
      <c r="Y252">
        <v>24</v>
      </c>
      <c r="Z252">
        <v>2</v>
      </c>
      <c r="AA252">
        <v>28</v>
      </c>
      <c r="AB252">
        <v>2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3</v>
      </c>
      <c r="AQ252" t="s">
        <v>127</v>
      </c>
      <c r="AR252" t="s">
        <v>862</v>
      </c>
      <c r="AS252">
        <v>3</v>
      </c>
    </row>
    <row r="253" spans="1:45" x14ac:dyDescent="0.25">
      <c r="A253">
        <v>34238</v>
      </c>
      <c r="B253" t="s">
        <v>863</v>
      </c>
      <c r="C253" s="85" t="str">
        <f>VLOOKUP(A253,ADM!$A$1:$N$343,14,0)</f>
        <v>CC du Grand Pic Saint-Loup</v>
      </c>
      <c r="F253" t="s">
        <v>113</v>
      </c>
      <c r="H253">
        <v>0</v>
      </c>
      <c r="I253" t="s">
        <v>114</v>
      </c>
      <c r="J253" t="s">
        <v>114</v>
      </c>
      <c r="K253" t="s">
        <v>114</v>
      </c>
      <c r="L253" t="s">
        <v>114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1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3</v>
      </c>
      <c r="AQ253" t="s">
        <v>145</v>
      </c>
      <c r="AR253" t="s">
        <v>145</v>
      </c>
      <c r="AS253">
        <v>4</v>
      </c>
    </row>
    <row r="254" spans="1:45" x14ac:dyDescent="0.25">
      <c r="A254">
        <v>34239</v>
      </c>
      <c r="B254" t="s">
        <v>865</v>
      </c>
      <c r="C254" s="85" t="str">
        <f>VLOOKUP(A254,ADM!$A$1:$N$343,14,0)</f>
        <v>CC Vallée de l'hérault</v>
      </c>
      <c r="F254" t="s">
        <v>113</v>
      </c>
      <c r="H254">
        <v>143</v>
      </c>
      <c r="I254" t="s">
        <v>114</v>
      </c>
      <c r="J254">
        <v>15</v>
      </c>
      <c r="K254">
        <v>9</v>
      </c>
      <c r="L254">
        <v>6.6666666670000003</v>
      </c>
      <c r="M254">
        <v>3</v>
      </c>
      <c r="N254">
        <v>30</v>
      </c>
      <c r="O254">
        <v>18</v>
      </c>
      <c r="P254">
        <v>20</v>
      </c>
      <c r="Q254">
        <v>0</v>
      </c>
      <c r="R254">
        <v>26</v>
      </c>
      <c r="S254">
        <v>55</v>
      </c>
      <c r="T254">
        <v>47</v>
      </c>
      <c r="U254">
        <v>15</v>
      </c>
      <c r="V254">
        <v>0.73529999999999995</v>
      </c>
      <c r="W254">
        <v>6.6176000000000004</v>
      </c>
      <c r="X254" s="1">
        <v>0.06</v>
      </c>
      <c r="Y254">
        <v>75</v>
      </c>
      <c r="Z254">
        <v>14</v>
      </c>
      <c r="AA254">
        <v>78</v>
      </c>
      <c r="AB254">
        <v>7</v>
      </c>
      <c r="AC254">
        <v>0</v>
      </c>
      <c r="AD254">
        <v>13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24</v>
      </c>
      <c r="AO254">
        <v>0</v>
      </c>
      <c r="AP254">
        <v>3</v>
      </c>
      <c r="AQ254" t="s">
        <v>867</v>
      </c>
      <c r="AR254" t="s">
        <v>868</v>
      </c>
      <c r="AS254">
        <v>2</v>
      </c>
    </row>
    <row r="255" spans="1:45" x14ac:dyDescent="0.25">
      <c r="A255">
        <v>34240</v>
      </c>
      <c r="B255" t="s">
        <v>869</v>
      </c>
      <c r="C255" s="85" t="str">
        <f>VLOOKUP(A255,ADM!$A$1:$N$343,14,0)</f>
        <v>CA du Pays de l'Or</v>
      </c>
      <c r="F255" t="s">
        <v>113</v>
      </c>
      <c r="H255">
        <v>103</v>
      </c>
      <c r="I255" t="s">
        <v>114</v>
      </c>
      <c r="J255">
        <v>7</v>
      </c>
      <c r="K255">
        <v>5.25</v>
      </c>
      <c r="L255">
        <v>19</v>
      </c>
      <c r="M255">
        <v>5</v>
      </c>
      <c r="N255">
        <v>28</v>
      </c>
      <c r="O255">
        <v>21</v>
      </c>
      <c r="P255">
        <v>19</v>
      </c>
      <c r="Q255">
        <v>0</v>
      </c>
      <c r="R255">
        <v>25</v>
      </c>
      <c r="S255">
        <v>59</v>
      </c>
      <c r="T255">
        <v>14</v>
      </c>
      <c r="U255">
        <v>5</v>
      </c>
      <c r="V255">
        <v>0</v>
      </c>
      <c r="W255">
        <v>8.7378999999999998</v>
      </c>
      <c r="X255" s="1">
        <v>7.0000000000000007E-2</v>
      </c>
      <c r="Y255">
        <v>92</v>
      </c>
      <c r="Z255">
        <v>7</v>
      </c>
      <c r="AA255">
        <v>86</v>
      </c>
      <c r="AB255">
        <v>9</v>
      </c>
      <c r="AC255">
        <v>0</v>
      </c>
      <c r="AD255">
        <v>29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8</v>
      </c>
      <c r="AM255">
        <v>0</v>
      </c>
      <c r="AN255">
        <v>45</v>
      </c>
      <c r="AO255">
        <v>11</v>
      </c>
      <c r="AP255">
        <v>3</v>
      </c>
      <c r="AQ255" t="s">
        <v>871</v>
      </c>
      <c r="AR255" t="s">
        <v>633</v>
      </c>
      <c r="AS255">
        <v>1</v>
      </c>
    </row>
    <row r="256" spans="1:45" x14ac:dyDescent="0.25">
      <c r="A256">
        <v>34241</v>
      </c>
      <c r="B256" t="s">
        <v>872</v>
      </c>
      <c r="C256" s="85" t="str">
        <f>VLOOKUP(A256,ADM!$A$1:$N$343,14,0)</f>
        <v>CC Vallée de l'hérault</v>
      </c>
      <c r="F256" t="s">
        <v>113</v>
      </c>
      <c r="H256">
        <v>0</v>
      </c>
      <c r="I256" t="s">
        <v>114</v>
      </c>
      <c r="J256" t="s">
        <v>114</v>
      </c>
      <c r="K256" t="s">
        <v>114</v>
      </c>
      <c r="L256" t="s">
        <v>114</v>
      </c>
      <c r="M256">
        <v>0</v>
      </c>
      <c r="N256">
        <v>0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 s="1">
        <v>0</v>
      </c>
      <c r="Y256">
        <v>2</v>
      </c>
      <c r="Z256">
        <v>0</v>
      </c>
      <c r="AA256">
        <v>1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3</v>
      </c>
      <c r="AQ256" t="s">
        <v>145</v>
      </c>
      <c r="AR256" t="s">
        <v>145</v>
      </c>
      <c r="AS256">
        <v>3</v>
      </c>
    </row>
    <row r="257" spans="1:45" x14ac:dyDescent="0.25">
      <c r="A257">
        <v>34242</v>
      </c>
      <c r="B257" t="s">
        <v>874</v>
      </c>
      <c r="C257" s="85" t="str">
        <f>VLOOKUP(A257,ADM!$A$1:$N$343,14,0)</f>
        <v>CC du Grand Pic Saint-Loup</v>
      </c>
      <c r="F257" t="s">
        <v>113</v>
      </c>
      <c r="H257">
        <v>0</v>
      </c>
      <c r="I257" t="s">
        <v>114</v>
      </c>
      <c r="J257" t="s">
        <v>114</v>
      </c>
      <c r="K257" t="s">
        <v>114</v>
      </c>
      <c r="L257" t="s">
        <v>114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 s="1">
        <v>0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3</v>
      </c>
      <c r="AQ257" t="s">
        <v>145</v>
      </c>
      <c r="AR257" t="s">
        <v>145</v>
      </c>
      <c r="AS257">
        <v>2</v>
      </c>
    </row>
    <row r="258" spans="1:45" x14ac:dyDescent="0.25">
      <c r="A258">
        <v>34243</v>
      </c>
      <c r="B258" t="s">
        <v>876</v>
      </c>
      <c r="C258" s="85" t="str">
        <f>VLOOKUP(A258,ADM!$A$1:$N$343,14,0)</f>
        <v>CC des Cévennes Gangeoises et Suménoises</v>
      </c>
      <c r="F258" t="s">
        <v>113</v>
      </c>
      <c r="H258">
        <v>0</v>
      </c>
      <c r="I258" t="s">
        <v>114</v>
      </c>
      <c r="J258" t="s">
        <v>114</v>
      </c>
      <c r="K258" t="s">
        <v>114</v>
      </c>
      <c r="L258" t="s">
        <v>114</v>
      </c>
      <c r="M258">
        <v>0</v>
      </c>
      <c r="N258">
        <v>0</v>
      </c>
      <c r="O258">
        <v>1</v>
      </c>
      <c r="P258">
        <v>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 s="1">
        <v>0</v>
      </c>
      <c r="Y258">
        <v>5</v>
      </c>
      <c r="Z258">
        <v>0</v>
      </c>
      <c r="AA258">
        <v>5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3</v>
      </c>
      <c r="AQ258" t="s">
        <v>145</v>
      </c>
      <c r="AR258" t="s">
        <v>145</v>
      </c>
      <c r="AS258">
        <v>3</v>
      </c>
    </row>
    <row r="259" spans="1:45" x14ac:dyDescent="0.25">
      <c r="A259">
        <v>34244</v>
      </c>
      <c r="B259" t="s">
        <v>878</v>
      </c>
      <c r="C259" s="85" t="str">
        <f>VLOOKUP(A259,ADM!$A$1:$N$343,14,0)</f>
        <v>Montpellier Méditerranée Métropole</v>
      </c>
      <c r="F259" t="s">
        <v>113</v>
      </c>
      <c r="H259">
        <v>212</v>
      </c>
      <c r="I259" t="s">
        <v>114</v>
      </c>
      <c r="J259">
        <v>14</v>
      </c>
      <c r="K259">
        <v>3.363636364</v>
      </c>
      <c r="L259">
        <v>5.25</v>
      </c>
      <c r="M259">
        <v>6</v>
      </c>
      <c r="N259">
        <v>28</v>
      </c>
      <c r="O259">
        <v>37</v>
      </c>
      <c r="P259">
        <v>21</v>
      </c>
      <c r="Q259">
        <v>0</v>
      </c>
      <c r="R259">
        <v>35</v>
      </c>
      <c r="S259">
        <v>108</v>
      </c>
      <c r="T259">
        <v>67</v>
      </c>
      <c r="U259">
        <v>2</v>
      </c>
      <c r="V259">
        <v>0</v>
      </c>
      <c r="W259">
        <v>8.4906000000000006</v>
      </c>
      <c r="X259" s="1">
        <v>0.16</v>
      </c>
      <c r="Y259">
        <v>103</v>
      </c>
      <c r="Z259">
        <v>15</v>
      </c>
      <c r="AA259">
        <v>102</v>
      </c>
      <c r="AB259">
        <v>17</v>
      </c>
      <c r="AC259">
        <v>0</v>
      </c>
      <c r="AD259">
        <v>33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52</v>
      </c>
      <c r="AN259">
        <v>59</v>
      </c>
      <c r="AO259">
        <v>0</v>
      </c>
      <c r="AP259">
        <v>3</v>
      </c>
      <c r="AQ259" t="s">
        <v>880</v>
      </c>
      <c r="AR259" t="s">
        <v>579</v>
      </c>
      <c r="AS259">
        <v>1</v>
      </c>
    </row>
    <row r="260" spans="1:45" x14ac:dyDescent="0.25">
      <c r="A260">
        <v>34245</v>
      </c>
      <c r="B260" t="s">
        <v>881</v>
      </c>
      <c r="C260" s="85" t="str">
        <f>VLOOKUP(A260,ADM!$A$1:$N$343,14,0)</f>
        <v>CC Sud-Hérault</v>
      </c>
      <c r="F260" t="s">
        <v>113</v>
      </c>
      <c r="H260">
        <v>42</v>
      </c>
      <c r="I260" t="s">
        <v>114</v>
      </c>
      <c r="J260" t="s">
        <v>114</v>
      </c>
      <c r="K260">
        <v>6</v>
      </c>
      <c r="L260">
        <v>1.6666666670000001</v>
      </c>
      <c r="M260">
        <v>0</v>
      </c>
      <c r="N260">
        <v>4</v>
      </c>
      <c r="O260">
        <v>12</v>
      </c>
      <c r="P260">
        <v>5</v>
      </c>
      <c r="Q260">
        <v>0</v>
      </c>
      <c r="R260">
        <v>0</v>
      </c>
      <c r="S260">
        <v>12</v>
      </c>
      <c r="T260">
        <v>28</v>
      </c>
      <c r="U260">
        <v>2</v>
      </c>
      <c r="V260">
        <v>0</v>
      </c>
      <c r="W260">
        <v>11.9048</v>
      </c>
      <c r="X260" s="1">
        <v>0.05</v>
      </c>
      <c r="Y260">
        <v>25</v>
      </c>
      <c r="Z260">
        <v>3</v>
      </c>
      <c r="AA260">
        <v>23</v>
      </c>
      <c r="AB260">
        <v>5</v>
      </c>
      <c r="AC260">
        <v>0</v>
      </c>
      <c r="AD260">
        <v>7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11</v>
      </c>
      <c r="AO260">
        <v>0</v>
      </c>
      <c r="AP260">
        <v>3</v>
      </c>
      <c r="AQ260" t="s">
        <v>390</v>
      </c>
      <c r="AR260" t="s">
        <v>270</v>
      </c>
      <c r="AS260">
        <v>4</v>
      </c>
    </row>
    <row r="261" spans="1:45" x14ac:dyDescent="0.25">
      <c r="A261">
        <v>34246</v>
      </c>
      <c r="B261" t="s">
        <v>883</v>
      </c>
      <c r="C261" s="85" t="str">
        <f>VLOOKUP(A261,ADM!$A$1:$N$343,14,0)</f>
        <v>CC du Pays de Lunel</v>
      </c>
      <c r="F261" t="s">
        <v>113</v>
      </c>
      <c r="H261">
        <v>0</v>
      </c>
      <c r="I261" t="s">
        <v>114</v>
      </c>
      <c r="J261" t="s">
        <v>114</v>
      </c>
      <c r="K261" t="s">
        <v>114</v>
      </c>
      <c r="L261" t="s">
        <v>114</v>
      </c>
      <c r="M261">
        <v>0</v>
      </c>
      <c r="N261">
        <v>3</v>
      </c>
      <c r="O261">
        <v>4</v>
      </c>
      <c r="P261">
        <v>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 s="1">
        <v>0</v>
      </c>
      <c r="Y261">
        <v>10</v>
      </c>
      <c r="Z261">
        <v>0</v>
      </c>
      <c r="AA261">
        <v>11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3</v>
      </c>
      <c r="AQ261" t="s">
        <v>145</v>
      </c>
      <c r="AR261" t="s">
        <v>145</v>
      </c>
      <c r="AS261">
        <v>3</v>
      </c>
    </row>
    <row r="262" spans="1:45" x14ac:dyDescent="0.25">
      <c r="A262">
        <v>34248</v>
      </c>
      <c r="B262" t="s">
        <v>889</v>
      </c>
      <c r="C262" s="85" t="str">
        <f>VLOOKUP(A262,ADM!$A$1:$N$343,14,0)</f>
        <v>CC du Grand Pic Saint-Loup</v>
      </c>
      <c r="F262" t="s">
        <v>113</v>
      </c>
      <c r="H262">
        <v>0</v>
      </c>
      <c r="I262" t="s">
        <v>114</v>
      </c>
      <c r="J262" t="s">
        <v>114</v>
      </c>
      <c r="K262" t="s">
        <v>114</v>
      </c>
      <c r="L262" t="s">
        <v>114</v>
      </c>
      <c r="M262">
        <v>0</v>
      </c>
      <c r="N262">
        <v>0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 s="1">
        <v>0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3</v>
      </c>
      <c r="AQ262" t="s">
        <v>145</v>
      </c>
      <c r="AR262" t="s">
        <v>145</v>
      </c>
      <c r="AS262">
        <v>3</v>
      </c>
    </row>
    <row r="263" spans="1:45" x14ac:dyDescent="0.25">
      <c r="A263">
        <v>34249</v>
      </c>
      <c r="B263" t="s">
        <v>891</v>
      </c>
      <c r="C263" s="85" t="str">
        <f>VLOOKUP(A263,ADM!$A$1:$N$343,14,0)</f>
        <v>Montpellier Méditerranée Métropole</v>
      </c>
      <c r="F263" t="s">
        <v>113</v>
      </c>
      <c r="H263">
        <v>41</v>
      </c>
      <c r="I263" t="s">
        <v>114</v>
      </c>
      <c r="J263">
        <v>5.5</v>
      </c>
      <c r="K263">
        <v>4</v>
      </c>
      <c r="L263" t="s">
        <v>114</v>
      </c>
      <c r="M263">
        <v>2</v>
      </c>
      <c r="N263">
        <v>11</v>
      </c>
      <c r="O263">
        <v>8</v>
      </c>
      <c r="P263">
        <v>6</v>
      </c>
      <c r="Q263">
        <v>0</v>
      </c>
      <c r="R263">
        <v>6</v>
      </c>
      <c r="S263">
        <v>19</v>
      </c>
      <c r="T263">
        <v>16</v>
      </c>
      <c r="U263">
        <v>0</v>
      </c>
      <c r="V263">
        <v>0</v>
      </c>
      <c r="W263">
        <v>10</v>
      </c>
      <c r="X263" s="1">
        <v>0.04</v>
      </c>
      <c r="Y263">
        <v>30</v>
      </c>
      <c r="Z263">
        <v>18</v>
      </c>
      <c r="AA263">
        <v>33</v>
      </c>
      <c r="AB263">
        <v>4</v>
      </c>
      <c r="AC263">
        <v>0</v>
      </c>
      <c r="AD263">
        <v>9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2</v>
      </c>
      <c r="AM263">
        <v>0</v>
      </c>
      <c r="AN263">
        <v>14</v>
      </c>
      <c r="AO263">
        <v>0</v>
      </c>
      <c r="AP263">
        <v>3</v>
      </c>
      <c r="AQ263" t="s">
        <v>893</v>
      </c>
      <c r="AR263" t="s">
        <v>894</v>
      </c>
      <c r="AS263">
        <v>1</v>
      </c>
    </row>
    <row r="264" spans="1:45" x14ac:dyDescent="0.25">
      <c r="A264">
        <v>34250</v>
      </c>
      <c r="B264" t="s">
        <v>895</v>
      </c>
      <c r="C264" s="85" t="str">
        <f>VLOOKUP(A264,ADM!$A$1:$N$343,14,0)</f>
        <v>CC Du Minervois au Caroux en Haut-Languedoc</v>
      </c>
      <c r="F264" t="s">
        <v>113</v>
      </c>
      <c r="H264">
        <v>0</v>
      </c>
      <c r="I264" t="s">
        <v>114</v>
      </c>
      <c r="J264" t="s">
        <v>114</v>
      </c>
      <c r="K264" t="s">
        <v>114</v>
      </c>
      <c r="L264" t="s">
        <v>114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 s="1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3</v>
      </c>
      <c r="AQ264" t="s">
        <v>145</v>
      </c>
      <c r="AR264" t="s">
        <v>145</v>
      </c>
      <c r="AS264">
        <v>4</v>
      </c>
    </row>
    <row r="265" spans="1:45" x14ac:dyDescent="0.25">
      <c r="A265">
        <v>34251</v>
      </c>
      <c r="B265" t="s">
        <v>897</v>
      </c>
      <c r="C265" s="85" t="str">
        <f>VLOOKUP(A265,ADM!$A$1:$N$343,14,0)</f>
        <v>CC Lodévois et Larzac</v>
      </c>
      <c r="F265" t="s">
        <v>113</v>
      </c>
      <c r="H265">
        <v>0</v>
      </c>
      <c r="I265" t="s">
        <v>114</v>
      </c>
      <c r="J265" t="s">
        <v>114</v>
      </c>
      <c r="K265" t="s">
        <v>114</v>
      </c>
      <c r="L265" t="s">
        <v>114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 s="1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3</v>
      </c>
      <c r="AQ265" t="s">
        <v>145</v>
      </c>
      <c r="AR265" t="s">
        <v>145</v>
      </c>
      <c r="AS265">
        <v>4</v>
      </c>
    </row>
    <row r="266" spans="1:45" x14ac:dyDescent="0.25">
      <c r="A266">
        <v>34252</v>
      </c>
      <c r="B266" t="s">
        <v>899</v>
      </c>
      <c r="C266" s="85" t="str">
        <f>VLOOKUP(A266,ADM!$A$1:$N$343,14,0)</f>
        <v>CC Grand Orb en Languedoc</v>
      </c>
      <c r="F266" t="s">
        <v>113</v>
      </c>
      <c r="H266">
        <v>0</v>
      </c>
      <c r="I266" t="s">
        <v>114</v>
      </c>
      <c r="J266" t="s">
        <v>114</v>
      </c>
      <c r="K266" t="s">
        <v>114</v>
      </c>
      <c r="L266" t="s">
        <v>114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 s="1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3</v>
      </c>
      <c r="AQ266" t="s">
        <v>145</v>
      </c>
      <c r="AR266" t="s">
        <v>145</v>
      </c>
      <c r="AS266">
        <v>4</v>
      </c>
    </row>
    <row r="267" spans="1:45" x14ac:dyDescent="0.25">
      <c r="A267">
        <v>34253</v>
      </c>
      <c r="B267" t="s">
        <v>901</v>
      </c>
      <c r="C267" s="85" t="str">
        <f>VLOOKUP(A267,ADM!$A$1:$N$343,14,0)</f>
        <v>CC Lodévois et Larzac</v>
      </c>
      <c r="F267" t="s">
        <v>113</v>
      </c>
      <c r="H267">
        <v>0</v>
      </c>
      <c r="I267" t="s">
        <v>114</v>
      </c>
      <c r="J267" t="s">
        <v>114</v>
      </c>
      <c r="K267" t="s">
        <v>114</v>
      </c>
      <c r="L267" t="s">
        <v>114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 s="1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3</v>
      </c>
      <c r="AQ267" t="s">
        <v>145</v>
      </c>
      <c r="AR267" t="s">
        <v>145</v>
      </c>
      <c r="AS267">
        <v>4</v>
      </c>
    </row>
    <row r="268" spans="1:45" x14ac:dyDescent="0.25">
      <c r="A268">
        <v>34254</v>
      </c>
      <c r="B268" t="s">
        <v>903</v>
      </c>
      <c r="C268" s="85" t="str">
        <f>VLOOKUP(A268,ADM!$A$1:$N$343,14,0)</f>
        <v>CC du Clermontais</v>
      </c>
      <c r="F268" t="s">
        <v>113</v>
      </c>
      <c r="H268">
        <v>0</v>
      </c>
      <c r="I268" t="s">
        <v>114</v>
      </c>
      <c r="J268" t="s">
        <v>114</v>
      </c>
      <c r="K268" t="s">
        <v>114</v>
      </c>
      <c r="L268" t="s">
        <v>114</v>
      </c>
      <c r="M268">
        <v>0</v>
      </c>
      <c r="N268">
        <v>0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 s="1">
        <v>0</v>
      </c>
      <c r="Y268">
        <v>1</v>
      </c>
      <c r="Z268">
        <v>0</v>
      </c>
      <c r="AA268">
        <v>1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3</v>
      </c>
      <c r="AQ268" t="s">
        <v>145</v>
      </c>
      <c r="AR268" t="s">
        <v>145</v>
      </c>
      <c r="AS268">
        <v>2</v>
      </c>
    </row>
    <row r="269" spans="1:45" x14ac:dyDescent="0.25">
      <c r="A269">
        <v>34256</v>
      </c>
      <c r="B269" t="s">
        <v>910</v>
      </c>
      <c r="C269" s="85" t="str">
        <f>VLOOKUP(A269,ADM!$A$1:$N$343,14,0)</f>
        <v>Montpellier Méditerranée Métropole</v>
      </c>
      <c r="F269" t="s">
        <v>113</v>
      </c>
      <c r="H269">
        <v>92</v>
      </c>
      <c r="I269" t="s">
        <v>114</v>
      </c>
      <c r="J269" t="s">
        <v>114</v>
      </c>
      <c r="K269" t="s">
        <v>114</v>
      </c>
      <c r="L269">
        <v>2</v>
      </c>
      <c r="M269">
        <v>2</v>
      </c>
      <c r="N269">
        <v>3</v>
      </c>
      <c r="O269">
        <v>15</v>
      </c>
      <c r="P269">
        <v>4</v>
      </c>
      <c r="Q269">
        <v>0</v>
      </c>
      <c r="R269">
        <v>7</v>
      </c>
      <c r="S269">
        <v>56</v>
      </c>
      <c r="T269">
        <v>25</v>
      </c>
      <c r="U269">
        <v>4</v>
      </c>
      <c r="V269">
        <v>0</v>
      </c>
      <c r="W269">
        <v>2.1739000000000002</v>
      </c>
      <c r="X269" s="1">
        <v>0.11</v>
      </c>
      <c r="Y269">
        <v>24</v>
      </c>
      <c r="Z269">
        <v>2</v>
      </c>
      <c r="AA269">
        <v>26</v>
      </c>
      <c r="AB269">
        <v>2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3</v>
      </c>
      <c r="AQ269" t="s">
        <v>127</v>
      </c>
      <c r="AR269" t="s">
        <v>389</v>
      </c>
      <c r="AS269">
        <v>1</v>
      </c>
    </row>
    <row r="270" spans="1:45" x14ac:dyDescent="0.25">
      <c r="A270">
        <v>34257</v>
      </c>
      <c r="B270" t="s">
        <v>912</v>
      </c>
      <c r="C270" s="85" t="str">
        <f>VLOOKUP(A270,ADM!$A$1:$N$343,14,0)</f>
        <v>CC Grand Orb en Languedoc</v>
      </c>
      <c r="F270" t="s">
        <v>113</v>
      </c>
      <c r="H270">
        <v>0</v>
      </c>
      <c r="I270" t="s">
        <v>114</v>
      </c>
      <c r="J270" t="s">
        <v>114</v>
      </c>
      <c r="K270" t="s">
        <v>114</v>
      </c>
      <c r="L270" t="s">
        <v>114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 s="1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3</v>
      </c>
      <c r="AQ270" t="s">
        <v>145</v>
      </c>
      <c r="AR270" t="s">
        <v>145</v>
      </c>
      <c r="AS270">
        <v>4</v>
      </c>
    </row>
    <row r="271" spans="1:45" x14ac:dyDescent="0.25">
      <c r="A271">
        <v>34258</v>
      </c>
      <c r="B271" t="s">
        <v>914</v>
      </c>
      <c r="C271" s="85" t="str">
        <f>VLOOKUP(A271,ADM!$A$1:$N$343,14,0)</f>
        <v>CC les Avant-Monts</v>
      </c>
      <c r="F271" t="s">
        <v>113</v>
      </c>
      <c r="H271">
        <v>5</v>
      </c>
      <c r="I271" t="s">
        <v>114</v>
      </c>
      <c r="J271" t="s">
        <v>114</v>
      </c>
      <c r="K271" t="s">
        <v>114</v>
      </c>
      <c r="L271" t="s">
        <v>114</v>
      </c>
      <c r="M271">
        <v>1</v>
      </c>
      <c r="N271">
        <v>0</v>
      </c>
      <c r="O271">
        <v>2</v>
      </c>
      <c r="P271">
        <v>0</v>
      </c>
      <c r="Q271">
        <v>0</v>
      </c>
      <c r="R271">
        <v>0</v>
      </c>
      <c r="S271">
        <v>5</v>
      </c>
      <c r="T271">
        <v>0</v>
      </c>
      <c r="U271">
        <v>0</v>
      </c>
      <c r="V271">
        <v>0</v>
      </c>
      <c r="W271">
        <v>0</v>
      </c>
      <c r="X271" s="1">
        <v>0.01</v>
      </c>
      <c r="Y271">
        <v>3</v>
      </c>
      <c r="Z271">
        <v>1</v>
      </c>
      <c r="AA271">
        <v>3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3</v>
      </c>
      <c r="AQ271" t="s">
        <v>366</v>
      </c>
      <c r="AR271" t="s">
        <v>145</v>
      </c>
      <c r="AS271">
        <v>3</v>
      </c>
    </row>
    <row r="272" spans="1:45" x14ac:dyDescent="0.25">
      <c r="A272">
        <v>34260</v>
      </c>
      <c r="B272" t="s">
        <v>921</v>
      </c>
      <c r="C272" s="85" t="str">
        <f>VLOOKUP(A272,ADM!$A$1:$N$343,14,0)</f>
        <v>CC Grand Orb en Languedoc</v>
      </c>
      <c r="F272" t="s">
        <v>113</v>
      </c>
      <c r="H272">
        <v>22</v>
      </c>
      <c r="I272" t="s">
        <v>114</v>
      </c>
      <c r="J272" t="s">
        <v>114</v>
      </c>
      <c r="K272" t="s">
        <v>114</v>
      </c>
      <c r="L272">
        <v>3</v>
      </c>
      <c r="M272">
        <v>0</v>
      </c>
      <c r="N272">
        <v>4</v>
      </c>
      <c r="O272">
        <v>4</v>
      </c>
      <c r="P272">
        <v>3</v>
      </c>
      <c r="Q272">
        <v>0</v>
      </c>
      <c r="R272">
        <v>1</v>
      </c>
      <c r="S272">
        <v>5</v>
      </c>
      <c r="T272">
        <v>15</v>
      </c>
      <c r="U272">
        <v>1</v>
      </c>
      <c r="V272">
        <v>0</v>
      </c>
      <c r="W272">
        <v>9.0908999999999995</v>
      </c>
      <c r="X272" s="1">
        <v>0.06</v>
      </c>
      <c r="Y272">
        <v>8</v>
      </c>
      <c r="Z272">
        <v>1</v>
      </c>
      <c r="AA272">
        <v>13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3</v>
      </c>
      <c r="AQ272" t="s">
        <v>405</v>
      </c>
      <c r="AR272" t="s">
        <v>389</v>
      </c>
      <c r="AS272">
        <v>4</v>
      </c>
    </row>
    <row r="273" spans="1:45" x14ac:dyDescent="0.25">
      <c r="A273">
        <v>34261</v>
      </c>
      <c r="B273" t="s">
        <v>923</v>
      </c>
      <c r="C273" s="85" t="str">
        <f>VLOOKUP(A273,ADM!$A$1:$N$343,14,0)</f>
        <v>CC Vallée de l'hérault</v>
      </c>
      <c r="F273" t="s">
        <v>113</v>
      </c>
      <c r="H273">
        <v>0</v>
      </c>
      <c r="I273" t="s">
        <v>114</v>
      </c>
      <c r="J273" t="s">
        <v>114</v>
      </c>
      <c r="K273" t="s">
        <v>114</v>
      </c>
      <c r="L273" t="s">
        <v>114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 s="1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3</v>
      </c>
      <c r="AQ273" t="s">
        <v>145</v>
      </c>
      <c r="AR273" t="s">
        <v>145</v>
      </c>
      <c r="AS273">
        <v>4</v>
      </c>
    </row>
    <row r="274" spans="1:45" x14ac:dyDescent="0.25">
      <c r="A274">
        <v>34262</v>
      </c>
      <c r="B274" t="s">
        <v>925</v>
      </c>
      <c r="C274" s="85" t="str">
        <f>VLOOKUP(A274,ADM!$A$1:$N$343,14,0)</f>
        <v>CC Vallée de l'hérault</v>
      </c>
      <c r="F274" t="s">
        <v>113</v>
      </c>
      <c r="H274">
        <v>0</v>
      </c>
      <c r="I274" t="s">
        <v>114</v>
      </c>
      <c r="J274" t="s">
        <v>114</v>
      </c>
      <c r="K274" t="s">
        <v>114</v>
      </c>
      <c r="L274" t="s">
        <v>114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 s="1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3</v>
      </c>
      <c r="AQ274" t="s">
        <v>145</v>
      </c>
      <c r="AR274" t="s">
        <v>145</v>
      </c>
      <c r="AS274">
        <v>4</v>
      </c>
    </row>
    <row r="275" spans="1:45" x14ac:dyDescent="0.25">
      <c r="A275">
        <v>34263</v>
      </c>
      <c r="B275" t="s">
        <v>927</v>
      </c>
      <c r="C275" s="85" t="str">
        <f>VLOOKUP(A275,ADM!$A$1:$N$343,14,0)</f>
        <v>CC du Grand Pic Saint-Loup</v>
      </c>
      <c r="F275" t="s">
        <v>113</v>
      </c>
      <c r="H275">
        <v>0</v>
      </c>
      <c r="I275" t="s">
        <v>114</v>
      </c>
      <c r="J275" t="s">
        <v>114</v>
      </c>
      <c r="K275" t="s">
        <v>114</v>
      </c>
      <c r="L275" t="s">
        <v>114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 s="1">
        <v>0</v>
      </c>
      <c r="Y275">
        <v>1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3</v>
      </c>
      <c r="AQ275" t="s">
        <v>145</v>
      </c>
      <c r="AR275" t="s">
        <v>145</v>
      </c>
      <c r="AS275">
        <v>3</v>
      </c>
    </row>
    <row r="276" spans="1:45" x14ac:dyDescent="0.25">
      <c r="A276">
        <v>34264</v>
      </c>
      <c r="B276" t="s">
        <v>929</v>
      </c>
      <c r="C276" s="85" t="str">
        <f>VLOOKUP(A276,ADM!$A$1:$N$343,14,0)</f>
        <v>CC du Grand Pic Saint-Loup</v>
      </c>
      <c r="F276" t="s">
        <v>113</v>
      </c>
      <c r="H276">
        <v>5</v>
      </c>
      <c r="I276" t="s">
        <v>114</v>
      </c>
      <c r="J276">
        <v>2</v>
      </c>
      <c r="K276" t="s">
        <v>114</v>
      </c>
      <c r="L276" t="s">
        <v>114</v>
      </c>
      <c r="M276">
        <v>1</v>
      </c>
      <c r="N276">
        <v>2</v>
      </c>
      <c r="O276">
        <v>1</v>
      </c>
      <c r="P276">
        <v>0</v>
      </c>
      <c r="Q276">
        <v>0</v>
      </c>
      <c r="R276">
        <v>1</v>
      </c>
      <c r="S276">
        <v>3</v>
      </c>
      <c r="T276">
        <v>1</v>
      </c>
      <c r="U276">
        <v>0</v>
      </c>
      <c r="V276">
        <v>0</v>
      </c>
      <c r="W276">
        <v>20</v>
      </c>
      <c r="X276" s="1">
        <v>0.05</v>
      </c>
      <c r="Y276">
        <v>4</v>
      </c>
      <c r="Z276">
        <v>1</v>
      </c>
      <c r="AA276">
        <v>4</v>
      </c>
      <c r="AB276">
        <v>1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3</v>
      </c>
      <c r="AQ276" t="s">
        <v>442</v>
      </c>
      <c r="AR276" t="s">
        <v>442</v>
      </c>
      <c r="AS276">
        <v>3</v>
      </c>
    </row>
    <row r="277" spans="1:45" x14ac:dyDescent="0.25">
      <c r="A277">
        <v>34265</v>
      </c>
      <c r="B277" t="s">
        <v>931</v>
      </c>
      <c r="C277" s="85" t="str">
        <f>VLOOKUP(A277,ADM!$A$1:$N$343,14,0)</f>
        <v>CC du Grand Pic Saint-Loup</v>
      </c>
      <c r="F277" t="s">
        <v>113</v>
      </c>
      <c r="H277">
        <v>12</v>
      </c>
      <c r="I277" t="s">
        <v>114</v>
      </c>
      <c r="J277" t="s">
        <v>114</v>
      </c>
      <c r="K277">
        <v>2</v>
      </c>
      <c r="L277" t="s">
        <v>114</v>
      </c>
      <c r="M277">
        <v>0</v>
      </c>
      <c r="N277">
        <v>1</v>
      </c>
      <c r="O277">
        <v>2</v>
      </c>
      <c r="P277">
        <v>0</v>
      </c>
      <c r="Q277">
        <v>0</v>
      </c>
      <c r="R277">
        <v>0</v>
      </c>
      <c r="S277">
        <v>6</v>
      </c>
      <c r="T277">
        <v>6</v>
      </c>
      <c r="U277">
        <v>0</v>
      </c>
      <c r="V277">
        <v>0</v>
      </c>
      <c r="W277">
        <v>8.3332999999999995</v>
      </c>
      <c r="X277" s="1">
        <v>0.05</v>
      </c>
      <c r="Y277">
        <v>1</v>
      </c>
      <c r="Z277">
        <v>0</v>
      </c>
      <c r="AA277">
        <v>3</v>
      </c>
      <c r="AB277">
        <v>1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3</v>
      </c>
      <c r="AQ277" t="s">
        <v>145</v>
      </c>
      <c r="AR277" t="s">
        <v>366</v>
      </c>
      <c r="AS277">
        <v>2</v>
      </c>
    </row>
    <row r="278" spans="1:45" x14ac:dyDescent="0.25">
      <c r="A278">
        <v>34266</v>
      </c>
      <c r="B278" t="s">
        <v>933</v>
      </c>
      <c r="C278" s="85" t="str">
        <f>VLOOKUP(A278,ADM!$A$1:$N$343,14,0)</f>
        <v>CC du Grand Pic Saint-Loup</v>
      </c>
      <c r="F278" t="s">
        <v>113</v>
      </c>
      <c r="H278">
        <v>0</v>
      </c>
      <c r="I278" t="s">
        <v>114</v>
      </c>
      <c r="J278" t="s">
        <v>114</v>
      </c>
      <c r="K278" t="s">
        <v>114</v>
      </c>
      <c r="L278" t="s">
        <v>114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 s="1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3</v>
      </c>
      <c r="AQ278" t="s">
        <v>145</v>
      </c>
      <c r="AR278" t="s">
        <v>145</v>
      </c>
      <c r="AS278">
        <v>3</v>
      </c>
    </row>
    <row r="279" spans="1:45" x14ac:dyDescent="0.25">
      <c r="A279">
        <v>34267</v>
      </c>
      <c r="B279" t="s">
        <v>935</v>
      </c>
      <c r="C279" s="85" t="str">
        <f>VLOOKUP(A279,ADM!$A$1:$N$343,14,0)</f>
        <v>CC Vallée de l'hérault</v>
      </c>
      <c r="F279" t="s">
        <v>113</v>
      </c>
      <c r="H279">
        <v>0</v>
      </c>
      <c r="I279" t="s">
        <v>114</v>
      </c>
      <c r="J279" t="s">
        <v>114</v>
      </c>
      <c r="K279" t="s">
        <v>114</v>
      </c>
      <c r="L279" t="s">
        <v>114</v>
      </c>
      <c r="M279">
        <v>1</v>
      </c>
      <c r="N279">
        <v>1</v>
      </c>
      <c r="O279">
        <v>5</v>
      </c>
      <c r="P279">
        <v>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 s="1">
        <v>0</v>
      </c>
      <c r="Y279">
        <v>16</v>
      </c>
      <c r="Z279">
        <v>0</v>
      </c>
      <c r="AA279">
        <v>10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3</v>
      </c>
      <c r="AQ279" t="s">
        <v>145</v>
      </c>
      <c r="AR279" t="s">
        <v>145</v>
      </c>
      <c r="AS279">
        <v>3</v>
      </c>
    </row>
    <row r="280" spans="1:45" x14ac:dyDescent="0.25">
      <c r="A280">
        <v>34268</v>
      </c>
      <c r="B280" t="s">
        <v>937</v>
      </c>
      <c r="C280" s="85" t="str">
        <f>VLOOKUP(A280,ADM!$A$1:$N$343,14,0)</f>
        <v>CC Lodévois et Larzac</v>
      </c>
      <c r="F280" t="s">
        <v>113</v>
      </c>
      <c r="H280">
        <v>0</v>
      </c>
      <c r="I280" t="s">
        <v>114</v>
      </c>
      <c r="J280" t="s">
        <v>114</v>
      </c>
      <c r="K280" t="s">
        <v>114</v>
      </c>
      <c r="L280" t="s">
        <v>114</v>
      </c>
      <c r="M280">
        <v>0</v>
      </c>
      <c r="N280">
        <v>0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 s="1">
        <v>0</v>
      </c>
      <c r="Y280">
        <v>1</v>
      </c>
      <c r="Z280">
        <v>0</v>
      </c>
      <c r="AA280">
        <v>1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3</v>
      </c>
      <c r="AQ280" t="s">
        <v>145</v>
      </c>
      <c r="AR280" t="s">
        <v>145</v>
      </c>
      <c r="AS280">
        <v>4</v>
      </c>
    </row>
    <row r="281" spans="1:45" x14ac:dyDescent="0.25">
      <c r="A281">
        <v>34269</v>
      </c>
      <c r="B281" t="s">
        <v>939</v>
      </c>
      <c r="C281" s="85" t="str">
        <f>VLOOKUP(A281,ADM!$A$1:$N$343,14,0)</f>
        <v>CC Du Minervois au Caroux en Haut-Languedoc</v>
      </c>
      <c r="F281" t="s">
        <v>113</v>
      </c>
      <c r="H281">
        <v>0</v>
      </c>
      <c r="I281" t="s">
        <v>114</v>
      </c>
      <c r="J281" t="s">
        <v>114</v>
      </c>
      <c r="K281" t="s">
        <v>114</v>
      </c>
      <c r="L281" t="s">
        <v>114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 s="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3</v>
      </c>
      <c r="AQ281" t="s">
        <v>145</v>
      </c>
      <c r="AR281" t="s">
        <v>145</v>
      </c>
      <c r="AS281">
        <v>4</v>
      </c>
    </row>
    <row r="282" spans="1:45" x14ac:dyDescent="0.25">
      <c r="A282">
        <v>34271</v>
      </c>
      <c r="B282" t="s">
        <v>945</v>
      </c>
      <c r="C282" s="85" t="str">
        <f>VLOOKUP(A282,ADM!$A$1:$N$343,14,0)</f>
        <v>CC Du Minervois au Caroux en Haut-Languedoc</v>
      </c>
      <c r="F282" t="s">
        <v>113</v>
      </c>
      <c r="H282">
        <v>0</v>
      </c>
      <c r="I282" t="s">
        <v>114</v>
      </c>
      <c r="J282" t="s">
        <v>114</v>
      </c>
      <c r="K282" t="s">
        <v>114</v>
      </c>
      <c r="L282" t="s">
        <v>114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 s="1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3</v>
      </c>
      <c r="AQ282" t="s">
        <v>145</v>
      </c>
      <c r="AR282" t="s">
        <v>145</v>
      </c>
      <c r="AS282">
        <v>4</v>
      </c>
    </row>
    <row r="283" spans="1:45" x14ac:dyDescent="0.25">
      <c r="A283">
        <v>34272</v>
      </c>
      <c r="B283" t="s">
        <v>947</v>
      </c>
      <c r="C283" s="85" t="str">
        <f>VLOOKUP(A283,ADM!$A$1:$N$343,14,0)</f>
        <v>CC du Pays de Lunel</v>
      </c>
      <c r="F283" t="s">
        <v>113</v>
      </c>
      <c r="H283">
        <v>108</v>
      </c>
      <c r="I283" t="s">
        <v>114</v>
      </c>
      <c r="J283">
        <v>5.5</v>
      </c>
      <c r="K283">
        <v>9</v>
      </c>
      <c r="L283">
        <v>9</v>
      </c>
      <c r="M283">
        <v>4</v>
      </c>
      <c r="N283">
        <v>11</v>
      </c>
      <c r="O283">
        <v>18</v>
      </c>
      <c r="P283">
        <v>9</v>
      </c>
      <c r="Q283">
        <v>0</v>
      </c>
      <c r="R283">
        <v>15</v>
      </c>
      <c r="S283">
        <v>50</v>
      </c>
      <c r="T283">
        <v>43</v>
      </c>
      <c r="U283">
        <v>0</v>
      </c>
      <c r="V283">
        <v>0</v>
      </c>
      <c r="W283">
        <v>4.6295999999999999</v>
      </c>
      <c r="X283" s="1">
        <v>0.08</v>
      </c>
      <c r="Y283">
        <v>48</v>
      </c>
      <c r="Z283">
        <v>16</v>
      </c>
      <c r="AA283">
        <v>51</v>
      </c>
      <c r="AB283">
        <v>5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3</v>
      </c>
      <c r="AQ283" t="s">
        <v>366</v>
      </c>
      <c r="AR283" t="s">
        <v>949</v>
      </c>
      <c r="AS283">
        <v>1</v>
      </c>
    </row>
    <row r="284" spans="1:45" x14ac:dyDescent="0.25">
      <c r="A284">
        <v>34273</v>
      </c>
      <c r="B284" t="s">
        <v>950</v>
      </c>
      <c r="C284" s="85" t="str">
        <f>VLOOKUP(A284,ADM!$A$1:$N$343,14,0)</f>
        <v>CC Du Minervois au Caroux en Haut-Languedoc</v>
      </c>
      <c r="F284" t="s">
        <v>113</v>
      </c>
      <c r="H284">
        <v>0</v>
      </c>
      <c r="I284" t="s">
        <v>114</v>
      </c>
      <c r="J284" t="s">
        <v>114</v>
      </c>
      <c r="K284" t="s">
        <v>114</v>
      </c>
      <c r="L284" t="s">
        <v>114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 s="1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3</v>
      </c>
      <c r="AQ284" t="s">
        <v>145</v>
      </c>
      <c r="AR284" t="s">
        <v>145</v>
      </c>
      <c r="AS284">
        <v>4</v>
      </c>
    </row>
    <row r="285" spans="1:45" x14ac:dyDescent="0.25">
      <c r="A285">
        <v>34274</v>
      </c>
      <c r="B285" t="s">
        <v>952</v>
      </c>
      <c r="C285" s="85" t="str">
        <f>VLOOKUP(A285,ADM!$A$1:$N$343,14,0)</f>
        <v>CC du Grand Pic Saint-Loup</v>
      </c>
      <c r="F285" t="s">
        <v>113</v>
      </c>
      <c r="H285">
        <v>78</v>
      </c>
      <c r="I285" t="s">
        <v>114</v>
      </c>
      <c r="J285">
        <v>15</v>
      </c>
      <c r="K285">
        <v>17</v>
      </c>
      <c r="L285">
        <v>9</v>
      </c>
      <c r="M285">
        <v>2</v>
      </c>
      <c r="N285">
        <v>15</v>
      </c>
      <c r="O285">
        <v>17</v>
      </c>
      <c r="P285">
        <v>9</v>
      </c>
      <c r="Q285">
        <v>8</v>
      </c>
      <c r="R285">
        <v>10</v>
      </c>
      <c r="S285">
        <v>22</v>
      </c>
      <c r="T285">
        <v>11</v>
      </c>
      <c r="U285">
        <v>27</v>
      </c>
      <c r="V285">
        <v>0</v>
      </c>
      <c r="W285">
        <v>4</v>
      </c>
      <c r="X285" s="1">
        <v>7.0000000000000007E-2</v>
      </c>
      <c r="Y285">
        <v>41</v>
      </c>
      <c r="Z285">
        <v>2</v>
      </c>
      <c r="AA285">
        <v>52</v>
      </c>
      <c r="AB285">
        <v>3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3</v>
      </c>
      <c r="AQ285" t="s">
        <v>671</v>
      </c>
      <c r="AR285" t="s">
        <v>954</v>
      </c>
      <c r="AS285">
        <v>2</v>
      </c>
    </row>
    <row r="286" spans="1:45" x14ac:dyDescent="0.25">
      <c r="A286">
        <v>34276</v>
      </c>
      <c r="B286" t="s">
        <v>955</v>
      </c>
      <c r="C286" s="85" t="str">
        <f>VLOOKUP(A286,ADM!$A$1:$N$343,14,0)</f>
        <v>CC du Grand Pic Saint-Loup</v>
      </c>
      <c r="F286" t="s">
        <v>113</v>
      </c>
      <c r="H286">
        <v>321</v>
      </c>
      <c r="I286">
        <v>2.5</v>
      </c>
      <c r="J286">
        <v>17</v>
      </c>
      <c r="K286">
        <v>2.9090909090000001</v>
      </c>
      <c r="L286">
        <v>11.5</v>
      </c>
      <c r="M286">
        <v>5</v>
      </c>
      <c r="N286">
        <v>34</v>
      </c>
      <c r="O286">
        <v>32</v>
      </c>
      <c r="P286">
        <v>23</v>
      </c>
      <c r="Q286">
        <v>12</v>
      </c>
      <c r="R286">
        <v>36</v>
      </c>
      <c r="S286">
        <v>136</v>
      </c>
      <c r="T286">
        <v>113</v>
      </c>
      <c r="U286">
        <v>24</v>
      </c>
      <c r="V286">
        <v>0</v>
      </c>
      <c r="W286">
        <v>5.6782000000000004</v>
      </c>
      <c r="X286" s="1">
        <v>0.17</v>
      </c>
      <c r="Y286">
        <v>105</v>
      </c>
      <c r="Z286">
        <v>27</v>
      </c>
      <c r="AA286">
        <v>106</v>
      </c>
      <c r="AB286">
        <v>17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3</v>
      </c>
      <c r="AQ286" t="s">
        <v>957</v>
      </c>
      <c r="AR286" t="s">
        <v>958</v>
      </c>
      <c r="AS286">
        <v>2</v>
      </c>
    </row>
    <row r="287" spans="1:45" x14ac:dyDescent="0.25">
      <c r="A287">
        <v>34277</v>
      </c>
      <c r="B287" t="s">
        <v>959</v>
      </c>
      <c r="C287" s="85" t="str">
        <f>VLOOKUP(A287,ADM!$A$1:$N$343,14,0)</f>
        <v>CC Lodévois et Larzac</v>
      </c>
      <c r="F287" t="s">
        <v>113</v>
      </c>
      <c r="H287">
        <v>0</v>
      </c>
      <c r="I287" t="s">
        <v>114</v>
      </c>
      <c r="J287" t="s">
        <v>114</v>
      </c>
      <c r="K287" t="s">
        <v>114</v>
      </c>
      <c r="L287" t="s">
        <v>114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 s="1">
        <v>0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3</v>
      </c>
      <c r="AQ287" t="s">
        <v>145</v>
      </c>
      <c r="AR287" t="s">
        <v>145</v>
      </c>
      <c r="AS287">
        <v>4</v>
      </c>
    </row>
    <row r="288" spans="1:45" x14ac:dyDescent="0.25">
      <c r="A288">
        <v>34278</v>
      </c>
      <c r="B288" t="s">
        <v>961</v>
      </c>
      <c r="C288" s="85" t="str">
        <f>VLOOKUP(A288,ADM!$A$1:$N$343,14,0)</f>
        <v>CC Lodévois et Larzac</v>
      </c>
      <c r="F288" t="s">
        <v>113</v>
      </c>
      <c r="H288">
        <v>0</v>
      </c>
      <c r="I288" t="s">
        <v>114</v>
      </c>
      <c r="J288" t="s">
        <v>114</v>
      </c>
      <c r="K288" t="s">
        <v>114</v>
      </c>
      <c r="L288" t="s">
        <v>114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 s="1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3</v>
      </c>
      <c r="AQ288" t="s">
        <v>145</v>
      </c>
      <c r="AR288" t="s">
        <v>145</v>
      </c>
      <c r="AS288">
        <v>4</v>
      </c>
    </row>
    <row r="289" spans="1:45" x14ac:dyDescent="0.25">
      <c r="A289">
        <v>34279</v>
      </c>
      <c r="B289" t="s">
        <v>963</v>
      </c>
      <c r="C289" s="85" t="str">
        <f>VLOOKUP(A289,ADM!$A$1:$N$343,14,0)</f>
        <v>CC les Avant-Monts</v>
      </c>
      <c r="F289" t="s">
        <v>113</v>
      </c>
      <c r="H289">
        <v>0</v>
      </c>
      <c r="I289" t="s">
        <v>114</v>
      </c>
      <c r="J289" t="s">
        <v>114</v>
      </c>
      <c r="K289" t="s">
        <v>114</v>
      </c>
      <c r="L289" t="s">
        <v>114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 s="1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3</v>
      </c>
      <c r="AQ289" t="s">
        <v>145</v>
      </c>
      <c r="AR289" t="s">
        <v>145</v>
      </c>
      <c r="AS289">
        <v>4</v>
      </c>
    </row>
    <row r="290" spans="1:45" x14ac:dyDescent="0.25">
      <c r="A290">
        <v>34280</v>
      </c>
      <c r="B290" t="s">
        <v>965</v>
      </c>
      <c r="C290" s="85" t="str">
        <f>VLOOKUP(A290,ADM!$A$1:$N$343,14,0)</f>
        <v>CC du Pays de Lunel</v>
      </c>
      <c r="F290" t="s">
        <v>113</v>
      </c>
      <c r="H290">
        <v>0</v>
      </c>
      <c r="I290" t="s">
        <v>114</v>
      </c>
      <c r="J290" t="s">
        <v>114</v>
      </c>
      <c r="K290" t="s">
        <v>114</v>
      </c>
      <c r="L290" t="s">
        <v>114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 s="1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3</v>
      </c>
      <c r="AQ290" t="s">
        <v>145</v>
      </c>
      <c r="AR290" t="s">
        <v>145</v>
      </c>
      <c r="AS290">
        <v>1</v>
      </c>
    </row>
    <row r="291" spans="1:45" x14ac:dyDescent="0.25">
      <c r="A291">
        <v>34281</v>
      </c>
      <c r="B291" t="s">
        <v>967</v>
      </c>
      <c r="C291" s="85" t="str">
        <f>VLOOKUP(A291,ADM!$A$1:$N$343,14,0)</f>
        <v>CC Vallée de l'hérault</v>
      </c>
      <c r="F291" t="s">
        <v>113</v>
      </c>
      <c r="H291">
        <v>9</v>
      </c>
      <c r="I291" t="s">
        <v>114</v>
      </c>
      <c r="J291">
        <v>2</v>
      </c>
      <c r="K291">
        <v>3</v>
      </c>
      <c r="L291" t="s">
        <v>114</v>
      </c>
      <c r="M291">
        <v>2</v>
      </c>
      <c r="N291">
        <v>10</v>
      </c>
      <c r="O291">
        <v>6</v>
      </c>
      <c r="P291">
        <v>1</v>
      </c>
      <c r="Q291">
        <v>0</v>
      </c>
      <c r="R291">
        <v>7</v>
      </c>
      <c r="S291">
        <v>2</v>
      </c>
      <c r="T291">
        <v>0</v>
      </c>
      <c r="U291">
        <v>0</v>
      </c>
      <c r="V291">
        <v>11.1111</v>
      </c>
      <c r="W291">
        <v>0</v>
      </c>
      <c r="X291" s="1">
        <v>0.01</v>
      </c>
      <c r="Y291">
        <v>6</v>
      </c>
      <c r="Z291">
        <v>0</v>
      </c>
      <c r="AA291">
        <v>19</v>
      </c>
      <c r="AB291">
        <v>7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3</v>
      </c>
      <c r="AQ291" t="s">
        <v>145</v>
      </c>
      <c r="AR291" t="s">
        <v>969</v>
      </c>
      <c r="AS291">
        <v>3</v>
      </c>
    </row>
    <row r="292" spans="1:45" x14ac:dyDescent="0.25">
      <c r="A292">
        <v>34282</v>
      </c>
      <c r="B292" t="s">
        <v>970</v>
      </c>
      <c r="C292" s="85" t="str">
        <f>VLOOKUP(A292,ADM!$A$1:$N$343,14,0)</f>
        <v>CC Vallée de l'hérault</v>
      </c>
      <c r="F292" t="s">
        <v>113</v>
      </c>
      <c r="H292">
        <v>0</v>
      </c>
      <c r="I292" t="s">
        <v>114</v>
      </c>
      <c r="J292" t="s">
        <v>114</v>
      </c>
      <c r="K292" t="s">
        <v>114</v>
      </c>
      <c r="L292" t="s">
        <v>114</v>
      </c>
      <c r="M292">
        <v>0</v>
      </c>
      <c r="N292">
        <v>2</v>
      </c>
      <c r="O292">
        <v>1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 s="1">
        <v>0</v>
      </c>
      <c r="Y292">
        <v>5</v>
      </c>
      <c r="Z292">
        <v>0</v>
      </c>
      <c r="AA292">
        <v>5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3</v>
      </c>
      <c r="AQ292" t="s">
        <v>145</v>
      </c>
      <c r="AR292" t="s">
        <v>145</v>
      </c>
      <c r="AS292">
        <v>2</v>
      </c>
    </row>
    <row r="293" spans="1:45" x14ac:dyDescent="0.25">
      <c r="A293">
        <v>34283</v>
      </c>
      <c r="B293" t="s">
        <v>972</v>
      </c>
      <c r="C293" s="85" t="str">
        <f>VLOOKUP(A293,ADM!$A$1:$N$343,14,0)</f>
        <v>CC Lodévois et Larzac</v>
      </c>
      <c r="F293" t="s">
        <v>113</v>
      </c>
      <c r="H293">
        <v>0</v>
      </c>
      <c r="I293" t="s">
        <v>114</v>
      </c>
      <c r="J293" t="s">
        <v>114</v>
      </c>
      <c r="K293" t="s">
        <v>114</v>
      </c>
      <c r="L293" t="s">
        <v>114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 s="1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3</v>
      </c>
      <c r="AQ293" t="s">
        <v>145</v>
      </c>
      <c r="AR293" t="s">
        <v>145</v>
      </c>
      <c r="AS293">
        <v>4</v>
      </c>
    </row>
    <row r="294" spans="1:45" x14ac:dyDescent="0.25">
      <c r="A294">
        <v>34284</v>
      </c>
      <c r="B294" t="s">
        <v>974</v>
      </c>
      <c r="C294" s="85" t="str">
        <f>VLOOKUP(A294,ADM!$A$1:$N$343,14,0)</f>
        <v>CC Du Minervois au Caroux en Haut-Languedoc</v>
      </c>
      <c r="F294" t="s">
        <v>113</v>
      </c>
      <c r="H294">
        <v>109</v>
      </c>
      <c r="I294" t="s">
        <v>114</v>
      </c>
      <c r="J294">
        <v>3.5</v>
      </c>
      <c r="K294">
        <v>1</v>
      </c>
      <c r="L294">
        <v>0.5</v>
      </c>
      <c r="M294">
        <v>2</v>
      </c>
      <c r="N294">
        <v>14</v>
      </c>
      <c r="O294">
        <v>7</v>
      </c>
      <c r="P294">
        <v>9</v>
      </c>
      <c r="Q294">
        <v>0</v>
      </c>
      <c r="R294">
        <v>14</v>
      </c>
      <c r="S294">
        <v>42</v>
      </c>
      <c r="T294">
        <v>41</v>
      </c>
      <c r="U294">
        <v>12</v>
      </c>
      <c r="V294">
        <v>11.428599999999999</v>
      </c>
      <c r="W294">
        <v>20.952400000000001</v>
      </c>
      <c r="X294" s="1">
        <v>0.13</v>
      </c>
      <c r="Y294">
        <v>30</v>
      </c>
      <c r="Z294">
        <v>19</v>
      </c>
      <c r="AA294">
        <v>36</v>
      </c>
      <c r="AB294">
        <v>29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3</v>
      </c>
      <c r="AQ294" t="s">
        <v>976</v>
      </c>
      <c r="AR294" t="s">
        <v>977</v>
      </c>
      <c r="AS294">
        <v>4</v>
      </c>
    </row>
    <row r="295" spans="1:45" x14ac:dyDescent="0.25">
      <c r="A295">
        <v>34285</v>
      </c>
      <c r="B295" t="s">
        <v>978</v>
      </c>
      <c r="C295" s="85" t="str">
        <f>VLOOKUP(A295,ADM!$A$1:$N$343,14,0)</f>
        <v>CA Hérault-Méditerranée</v>
      </c>
      <c r="F295" t="s">
        <v>113</v>
      </c>
      <c r="H295">
        <v>0</v>
      </c>
      <c r="I295" t="s">
        <v>114</v>
      </c>
      <c r="J295" t="s">
        <v>114</v>
      </c>
      <c r="K295" t="s">
        <v>114</v>
      </c>
      <c r="L295" t="s">
        <v>114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 s="1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3</v>
      </c>
      <c r="AQ295" t="s">
        <v>145</v>
      </c>
      <c r="AR295" t="s">
        <v>145</v>
      </c>
      <c r="AS295">
        <v>3</v>
      </c>
    </row>
    <row r="296" spans="1:45" x14ac:dyDescent="0.25">
      <c r="A296">
        <v>34286</v>
      </c>
      <c r="B296" t="s">
        <v>980</v>
      </c>
      <c r="C296" s="85" t="str">
        <f>VLOOKUP(A296,ADM!$A$1:$N$343,14,0)</f>
        <v>CC Lodévois et Larzac</v>
      </c>
      <c r="F296" t="s">
        <v>113</v>
      </c>
      <c r="H296">
        <v>0</v>
      </c>
      <c r="I296" t="s">
        <v>114</v>
      </c>
      <c r="J296" t="s">
        <v>114</v>
      </c>
      <c r="K296" t="s">
        <v>114</v>
      </c>
      <c r="L296" t="s">
        <v>114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 s="1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3</v>
      </c>
      <c r="AQ296" t="s">
        <v>145</v>
      </c>
      <c r="AR296" t="s">
        <v>145</v>
      </c>
      <c r="AS296">
        <v>4</v>
      </c>
    </row>
    <row r="297" spans="1:45" x14ac:dyDescent="0.25">
      <c r="A297" s="85">
        <v>34287</v>
      </c>
      <c r="B297" s="85" t="s">
        <v>982</v>
      </c>
      <c r="C297" s="85" t="str">
        <f>VLOOKUP(A297,ADM!$A$1:$N$343,14,0)</f>
        <v>CC Vallée de l'hérault</v>
      </c>
      <c r="D297" s="85"/>
      <c r="E297" s="85"/>
      <c r="F297" s="85" t="s">
        <v>113</v>
      </c>
      <c r="G297" s="85"/>
      <c r="H297" s="85">
        <v>0</v>
      </c>
      <c r="I297" s="85" t="s">
        <v>114</v>
      </c>
      <c r="J297" s="85" t="s">
        <v>114</v>
      </c>
      <c r="K297" s="85" t="s">
        <v>114</v>
      </c>
      <c r="L297" s="85" t="s">
        <v>114</v>
      </c>
      <c r="M297" s="85"/>
      <c r="N297" s="85"/>
      <c r="O297" s="85"/>
      <c r="P297" s="85"/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1">
        <v>0</v>
      </c>
      <c r="Y297" s="85">
        <v>0</v>
      </c>
      <c r="Z297" s="85">
        <v>0</v>
      </c>
      <c r="AA297" s="85">
        <v>0</v>
      </c>
      <c r="AB297" s="85">
        <v>0</v>
      </c>
      <c r="AC297" s="85">
        <v>0</v>
      </c>
      <c r="AD297" s="85">
        <v>0</v>
      </c>
      <c r="AE297" s="85">
        <v>0</v>
      </c>
      <c r="AF297" s="85">
        <v>0</v>
      </c>
      <c r="AG297" s="85">
        <v>0</v>
      </c>
      <c r="AH297" s="85">
        <v>0</v>
      </c>
      <c r="AI297" s="85">
        <v>0</v>
      </c>
      <c r="AJ297" s="85">
        <v>0</v>
      </c>
      <c r="AK297" s="85">
        <v>0</v>
      </c>
      <c r="AL297" s="85">
        <v>0</v>
      </c>
      <c r="AM297" s="85">
        <v>0</v>
      </c>
      <c r="AN297" s="85">
        <v>0</v>
      </c>
      <c r="AO297" s="85">
        <v>0</v>
      </c>
      <c r="AP297">
        <v>3</v>
      </c>
      <c r="AQ297" s="85" t="s">
        <v>145</v>
      </c>
      <c r="AR297" s="85" t="s">
        <v>145</v>
      </c>
      <c r="AS297">
        <v>4</v>
      </c>
    </row>
    <row r="298" spans="1:45" x14ac:dyDescent="0.25">
      <c r="A298">
        <v>34288</v>
      </c>
      <c r="B298" t="s">
        <v>984</v>
      </c>
      <c r="C298" s="85" t="str">
        <f>VLOOKUP(A298,ADM!$A$1:$N$343,14,0)</f>
        <v>CC du Pays de Lunel</v>
      </c>
      <c r="F298" t="s">
        <v>113</v>
      </c>
      <c r="H298">
        <v>18</v>
      </c>
      <c r="I298" t="s">
        <v>114</v>
      </c>
      <c r="J298" t="s">
        <v>114</v>
      </c>
      <c r="K298">
        <v>1</v>
      </c>
      <c r="L298" t="s">
        <v>114</v>
      </c>
      <c r="M298">
        <v>0</v>
      </c>
      <c r="N298">
        <v>1</v>
      </c>
      <c r="O298">
        <v>1</v>
      </c>
      <c r="P298">
        <v>0</v>
      </c>
      <c r="Q298">
        <v>0</v>
      </c>
      <c r="R298">
        <v>10</v>
      </c>
      <c r="S298">
        <v>8</v>
      </c>
      <c r="T298">
        <v>0</v>
      </c>
      <c r="U298">
        <v>0</v>
      </c>
      <c r="V298">
        <v>0</v>
      </c>
      <c r="W298">
        <v>5.5556000000000001</v>
      </c>
      <c r="X298" s="1">
        <v>0.05</v>
      </c>
      <c r="Y298">
        <v>5</v>
      </c>
      <c r="Z298">
        <v>3</v>
      </c>
      <c r="AA298">
        <v>2</v>
      </c>
      <c r="AB298">
        <v>1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3</v>
      </c>
      <c r="AQ298" t="s">
        <v>893</v>
      </c>
      <c r="AR298" t="s">
        <v>292</v>
      </c>
      <c r="AS298">
        <v>1</v>
      </c>
    </row>
    <row r="299" spans="1:45" x14ac:dyDescent="0.25">
      <c r="A299">
        <v>34289</v>
      </c>
      <c r="B299" t="s">
        <v>986</v>
      </c>
      <c r="C299" s="85" t="str">
        <f>VLOOKUP(A299,ADM!$A$1:$N$343,14,0)</f>
        <v>CA Hérault-Méditerranée</v>
      </c>
      <c r="F299" t="s">
        <v>113</v>
      </c>
      <c r="H299">
        <v>128</v>
      </c>
      <c r="I299" t="s">
        <v>114</v>
      </c>
      <c r="J299">
        <v>5.6666666670000003</v>
      </c>
      <c r="K299">
        <v>3.75</v>
      </c>
      <c r="L299">
        <v>3.75</v>
      </c>
      <c r="M299">
        <v>4</v>
      </c>
      <c r="N299">
        <v>17</v>
      </c>
      <c r="O299">
        <v>15</v>
      </c>
      <c r="P299">
        <v>15</v>
      </c>
      <c r="Q299">
        <v>6</v>
      </c>
      <c r="R299">
        <v>20</v>
      </c>
      <c r="S299">
        <v>41</v>
      </c>
      <c r="T299">
        <v>45</v>
      </c>
      <c r="U299">
        <v>16</v>
      </c>
      <c r="V299">
        <v>2.4390000000000001</v>
      </c>
      <c r="W299">
        <v>5.6910999999999996</v>
      </c>
      <c r="X299" s="1">
        <v>0.11</v>
      </c>
      <c r="Y299">
        <v>54</v>
      </c>
      <c r="Z299">
        <v>10</v>
      </c>
      <c r="AA299">
        <v>55</v>
      </c>
      <c r="AB299">
        <v>11</v>
      </c>
      <c r="AC299">
        <v>0</v>
      </c>
      <c r="AD299">
        <v>10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16</v>
      </c>
      <c r="AO299">
        <v>0</v>
      </c>
      <c r="AP299">
        <v>3</v>
      </c>
      <c r="AQ299" t="s">
        <v>988</v>
      </c>
      <c r="AR299" t="s">
        <v>168</v>
      </c>
      <c r="AS299">
        <v>2</v>
      </c>
    </row>
    <row r="300" spans="1:45" x14ac:dyDescent="0.25">
      <c r="A300">
        <v>34290</v>
      </c>
      <c r="B300" t="s">
        <v>989</v>
      </c>
      <c r="C300" s="85" t="str">
        <f>VLOOKUP(A300,ADM!$A$1:$N$343,14,0)</f>
        <v>CC du Grand Pic Saint-Loup</v>
      </c>
      <c r="F300" t="s">
        <v>113</v>
      </c>
      <c r="H300">
        <v>12</v>
      </c>
      <c r="I300" t="s">
        <v>114</v>
      </c>
      <c r="J300" t="s">
        <v>114</v>
      </c>
      <c r="K300" t="s">
        <v>114</v>
      </c>
      <c r="L300" t="s">
        <v>114</v>
      </c>
      <c r="M300">
        <v>0</v>
      </c>
      <c r="N300">
        <v>3</v>
      </c>
      <c r="O300">
        <v>2</v>
      </c>
      <c r="P300">
        <v>0</v>
      </c>
      <c r="Q300">
        <v>0</v>
      </c>
      <c r="R300">
        <v>1</v>
      </c>
      <c r="S300">
        <v>5</v>
      </c>
      <c r="T300">
        <v>5</v>
      </c>
      <c r="U300">
        <v>1</v>
      </c>
      <c r="V300">
        <v>0</v>
      </c>
      <c r="W300">
        <v>8.3332999999999995</v>
      </c>
      <c r="X300" s="1">
        <v>0.04</v>
      </c>
      <c r="Y300">
        <v>2</v>
      </c>
      <c r="Z300">
        <v>1</v>
      </c>
      <c r="AA300">
        <v>6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3</v>
      </c>
      <c r="AQ300" t="s">
        <v>292</v>
      </c>
      <c r="AR300" t="s">
        <v>145</v>
      </c>
      <c r="AS300">
        <v>1</v>
      </c>
    </row>
    <row r="301" spans="1:45" x14ac:dyDescent="0.25">
      <c r="A301">
        <v>34291</v>
      </c>
      <c r="B301" t="s">
        <v>991</v>
      </c>
      <c r="C301" s="85" t="str">
        <f>VLOOKUP(A301,ADM!$A$1:$N$343,14,0)</f>
        <v>CC Du Minervois au Caroux en Haut-Languedoc</v>
      </c>
      <c r="F301" t="s">
        <v>113</v>
      </c>
      <c r="H301">
        <v>0</v>
      </c>
      <c r="I301" t="s">
        <v>114</v>
      </c>
      <c r="J301" t="s">
        <v>114</v>
      </c>
      <c r="K301" t="s">
        <v>114</v>
      </c>
      <c r="L301" t="s">
        <v>114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 s="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3</v>
      </c>
      <c r="AQ301" t="s">
        <v>145</v>
      </c>
      <c r="AR301" t="s">
        <v>145</v>
      </c>
      <c r="AS301">
        <v>4</v>
      </c>
    </row>
    <row r="302" spans="1:45" x14ac:dyDescent="0.25">
      <c r="A302">
        <v>34292</v>
      </c>
      <c r="B302" t="s">
        <v>993</v>
      </c>
      <c r="C302" s="85" t="str">
        <f>VLOOKUP(A302,ADM!$A$1:$N$343,14,0)</f>
        <v>CC du Clermontais</v>
      </c>
      <c r="F302" t="s">
        <v>113</v>
      </c>
      <c r="H302">
        <v>0</v>
      </c>
      <c r="I302" t="s">
        <v>114</v>
      </c>
      <c r="J302" t="s">
        <v>114</v>
      </c>
      <c r="K302" t="s">
        <v>114</v>
      </c>
      <c r="L302" t="s">
        <v>114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 s="1">
        <v>0</v>
      </c>
      <c r="Y302">
        <v>2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3</v>
      </c>
      <c r="AQ302" t="s">
        <v>145</v>
      </c>
      <c r="AR302" t="s">
        <v>145</v>
      </c>
      <c r="AS302">
        <v>4</v>
      </c>
    </row>
    <row r="303" spans="1:45" x14ac:dyDescent="0.25">
      <c r="A303">
        <v>34293</v>
      </c>
      <c r="B303" t="s">
        <v>995</v>
      </c>
      <c r="C303" s="85" t="str">
        <f>VLOOKUP(A303,ADM!$A$1:$N$343,14,0)</f>
        <v>CC des Monts de Lacaune et de la Montagne du Haut Languedoc</v>
      </c>
      <c r="F303" t="s">
        <v>113</v>
      </c>
      <c r="H303">
        <v>25</v>
      </c>
      <c r="I303" t="s">
        <v>114</v>
      </c>
      <c r="J303" t="s">
        <v>114</v>
      </c>
      <c r="K303">
        <v>1.5</v>
      </c>
      <c r="L303">
        <v>0.33333333300000001</v>
      </c>
      <c r="M303">
        <v>3</v>
      </c>
      <c r="N303">
        <v>8</v>
      </c>
      <c r="O303">
        <v>6</v>
      </c>
      <c r="P303">
        <v>1</v>
      </c>
      <c r="Q303">
        <v>0</v>
      </c>
      <c r="R303">
        <v>5</v>
      </c>
      <c r="S303">
        <v>10</v>
      </c>
      <c r="T303">
        <v>8</v>
      </c>
      <c r="U303">
        <v>2</v>
      </c>
      <c r="V303">
        <v>12.5</v>
      </c>
      <c r="W303">
        <v>25</v>
      </c>
      <c r="X303" s="1">
        <v>0.05</v>
      </c>
      <c r="Y303">
        <v>11</v>
      </c>
      <c r="Z303">
        <v>3</v>
      </c>
      <c r="AA303">
        <v>18</v>
      </c>
      <c r="AB303">
        <v>7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3</v>
      </c>
      <c r="AQ303" t="s">
        <v>527</v>
      </c>
      <c r="AR303" t="s">
        <v>117</v>
      </c>
      <c r="AS303">
        <v>4</v>
      </c>
    </row>
    <row r="304" spans="1:45" x14ac:dyDescent="0.25">
      <c r="A304">
        <v>34294</v>
      </c>
      <c r="B304" t="s">
        <v>997</v>
      </c>
      <c r="C304" s="85" t="str">
        <f>VLOOKUP(A304,ADM!$A$1:$N$343,14,0)</f>
        <v>CC du Pays de Lunel</v>
      </c>
      <c r="F304" t="s">
        <v>113</v>
      </c>
      <c r="H304">
        <v>25</v>
      </c>
      <c r="I304" t="s">
        <v>114</v>
      </c>
      <c r="J304" t="s">
        <v>114</v>
      </c>
      <c r="K304" t="s">
        <v>114</v>
      </c>
      <c r="L304" t="s">
        <v>114</v>
      </c>
      <c r="M304">
        <v>1</v>
      </c>
      <c r="N304">
        <v>4</v>
      </c>
      <c r="O304">
        <v>6</v>
      </c>
      <c r="P304">
        <v>0</v>
      </c>
      <c r="Q304">
        <v>0</v>
      </c>
      <c r="R304">
        <v>5</v>
      </c>
      <c r="S304">
        <v>12</v>
      </c>
      <c r="T304">
        <v>8</v>
      </c>
      <c r="U304">
        <v>0</v>
      </c>
      <c r="V304">
        <v>0</v>
      </c>
      <c r="W304">
        <v>0</v>
      </c>
      <c r="X304" s="1">
        <v>0.06</v>
      </c>
      <c r="Y304">
        <v>23</v>
      </c>
      <c r="Z304">
        <v>0</v>
      </c>
      <c r="AA304">
        <v>12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3</v>
      </c>
      <c r="AQ304" t="s">
        <v>145</v>
      </c>
      <c r="AR304" t="s">
        <v>145</v>
      </c>
      <c r="AS304">
        <v>1</v>
      </c>
    </row>
    <row r="305" spans="1:45" x14ac:dyDescent="0.25">
      <c r="A305">
        <v>34295</v>
      </c>
      <c r="B305" t="s">
        <v>999</v>
      </c>
      <c r="C305" s="85" t="str">
        <f>VLOOKUP(A305,ADM!$A$1:$N$343,14,0)</f>
        <v>Montpellier Méditerranée Métropole</v>
      </c>
      <c r="F305" t="s">
        <v>113</v>
      </c>
      <c r="H305">
        <v>32</v>
      </c>
      <c r="I305" t="s">
        <v>114</v>
      </c>
      <c r="J305">
        <v>13</v>
      </c>
      <c r="K305">
        <v>4</v>
      </c>
      <c r="L305" t="s">
        <v>114</v>
      </c>
      <c r="M305">
        <v>2</v>
      </c>
      <c r="N305">
        <v>13</v>
      </c>
      <c r="O305">
        <v>8</v>
      </c>
      <c r="P305">
        <v>6</v>
      </c>
      <c r="Q305">
        <v>0</v>
      </c>
      <c r="R305">
        <v>2</v>
      </c>
      <c r="S305">
        <v>18</v>
      </c>
      <c r="T305">
        <v>12</v>
      </c>
      <c r="U305">
        <v>0</v>
      </c>
      <c r="V305">
        <v>0</v>
      </c>
      <c r="W305">
        <v>9.375</v>
      </c>
      <c r="X305" s="1">
        <v>0.05</v>
      </c>
      <c r="Y305">
        <v>19</v>
      </c>
      <c r="Z305">
        <v>1</v>
      </c>
      <c r="AA305">
        <v>32</v>
      </c>
      <c r="AB305">
        <v>3</v>
      </c>
      <c r="AC305">
        <v>0</v>
      </c>
      <c r="AD305">
        <v>24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13</v>
      </c>
      <c r="AM305">
        <v>0</v>
      </c>
      <c r="AN305">
        <v>42</v>
      </c>
      <c r="AO305">
        <v>17</v>
      </c>
      <c r="AP305">
        <v>3</v>
      </c>
      <c r="AQ305" t="s">
        <v>679</v>
      </c>
      <c r="AR305" t="s">
        <v>1001</v>
      </c>
      <c r="AS305">
        <v>1</v>
      </c>
    </row>
    <row r="306" spans="1:45" x14ac:dyDescent="0.25">
      <c r="A306">
        <v>34296</v>
      </c>
      <c r="B306" t="s">
        <v>1002</v>
      </c>
      <c r="C306" s="85" t="str">
        <f>VLOOKUP(A306,ADM!$A$1:$N$343,14,0)</f>
        <v>CC du Pays de Lunel</v>
      </c>
      <c r="F306" t="s">
        <v>113</v>
      </c>
      <c r="H306">
        <v>0</v>
      </c>
      <c r="I306" t="s">
        <v>114</v>
      </c>
      <c r="J306" t="s">
        <v>114</v>
      </c>
      <c r="K306" t="s">
        <v>114</v>
      </c>
      <c r="L306" t="s">
        <v>114</v>
      </c>
      <c r="M306">
        <v>0</v>
      </c>
      <c r="N306">
        <v>0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 s="1">
        <v>0</v>
      </c>
      <c r="Y306">
        <v>1</v>
      </c>
      <c r="Z306">
        <v>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3</v>
      </c>
      <c r="AQ306" t="s">
        <v>145</v>
      </c>
      <c r="AR306" t="s">
        <v>145</v>
      </c>
      <c r="AS306">
        <v>3</v>
      </c>
    </row>
    <row r="307" spans="1:45" x14ac:dyDescent="0.25">
      <c r="A307">
        <v>34297</v>
      </c>
      <c r="B307" t="s">
        <v>1004</v>
      </c>
      <c r="C307" s="85" t="str">
        <f>VLOOKUP(A307,ADM!$A$1:$N$343,14,0)</f>
        <v>CC du Grand Pic Saint-Loup</v>
      </c>
      <c r="F307" t="s">
        <v>113</v>
      </c>
      <c r="H307">
        <v>0</v>
      </c>
      <c r="I307" t="s">
        <v>114</v>
      </c>
      <c r="J307" t="s">
        <v>114</v>
      </c>
      <c r="K307" t="s">
        <v>114</v>
      </c>
      <c r="L307" t="s">
        <v>114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 s="1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3</v>
      </c>
      <c r="AQ307" t="s">
        <v>145</v>
      </c>
      <c r="AR307" t="s">
        <v>145</v>
      </c>
      <c r="AS307">
        <v>3</v>
      </c>
    </row>
    <row r="308" spans="1:45" x14ac:dyDescent="0.25">
      <c r="A308">
        <v>34302</v>
      </c>
      <c r="B308" t="s">
        <v>1027</v>
      </c>
      <c r="C308" s="85" t="str">
        <f>VLOOKUP(A308,ADM!$A$1:$N$343,14,0)</f>
        <v>CC Du Minervois au Caroux en Haut-Languedoc</v>
      </c>
      <c r="F308" t="s">
        <v>113</v>
      </c>
      <c r="H308">
        <v>0</v>
      </c>
      <c r="I308" t="s">
        <v>114</v>
      </c>
      <c r="J308" t="s">
        <v>114</v>
      </c>
      <c r="K308" t="s">
        <v>114</v>
      </c>
      <c r="L308" t="s">
        <v>114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 s="1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3</v>
      </c>
      <c r="AQ308" t="s">
        <v>145</v>
      </c>
      <c r="AR308" t="s">
        <v>145</v>
      </c>
      <c r="AS308">
        <v>4</v>
      </c>
    </row>
    <row r="309" spans="1:45" x14ac:dyDescent="0.25">
      <c r="A309">
        <v>34303</v>
      </c>
      <c r="B309" t="s">
        <v>1029</v>
      </c>
      <c r="C309" s="85" t="str">
        <f>VLOOKUP(A309,ADM!$A$1:$N$343,14,0)</f>
        <v>CC Lodévois et Larzac</v>
      </c>
      <c r="F309" t="s">
        <v>113</v>
      </c>
      <c r="H309">
        <v>0</v>
      </c>
      <c r="I309" t="s">
        <v>114</v>
      </c>
      <c r="J309" t="s">
        <v>114</v>
      </c>
      <c r="K309" t="s">
        <v>114</v>
      </c>
      <c r="L309" t="s">
        <v>114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 s="1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3</v>
      </c>
      <c r="AQ309" t="s">
        <v>145</v>
      </c>
      <c r="AR309" t="s">
        <v>145</v>
      </c>
      <c r="AS309">
        <v>4</v>
      </c>
    </row>
    <row r="310" spans="1:45" x14ac:dyDescent="0.25">
      <c r="A310">
        <v>34304</v>
      </c>
      <c r="B310" t="s">
        <v>1031</v>
      </c>
      <c r="C310" s="85" t="str">
        <f>VLOOKUP(A310,ADM!$A$1:$N$343,14,0)</f>
        <v>CC Lodévois et Larzac</v>
      </c>
      <c r="F310" t="s">
        <v>113</v>
      </c>
      <c r="H310">
        <v>0</v>
      </c>
      <c r="I310" t="s">
        <v>114</v>
      </c>
      <c r="J310" t="s">
        <v>114</v>
      </c>
      <c r="K310" t="s">
        <v>114</v>
      </c>
      <c r="L310" t="s">
        <v>114</v>
      </c>
      <c r="M310">
        <v>0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 s="1">
        <v>0</v>
      </c>
      <c r="Y310">
        <v>1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3</v>
      </c>
      <c r="AQ310" t="s">
        <v>145</v>
      </c>
      <c r="AR310" t="s">
        <v>145</v>
      </c>
      <c r="AS310">
        <v>3</v>
      </c>
    </row>
    <row r="311" spans="1:45" x14ac:dyDescent="0.25">
      <c r="A311">
        <v>34305</v>
      </c>
      <c r="B311" t="s">
        <v>1033</v>
      </c>
      <c r="C311" s="85" t="str">
        <f>VLOOKUP(A311,ADM!$A$1:$N$343,14,0)</f>
        <v>CC des Monts de Lacaune et de la Montagne du Haut Languedoc</v>
      </c>
      <c r="F311" t="s">
        <v>113</v>
      </c>
      <c r="H311">
        <v>0</v>
      </c>
      <c r="I311" t="s">
        <v>114</v>
      </c>
      <c r="J311" t="s">
        <v>114</v>
      </c>
      <c r="K311" t="s">
        <v>114</v>
      </c>
      <c r="L311" t="s">
        <v>114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 s="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3</v>
      </c>
      <c r="AQ311" t="s">
        <v>145</v>
      </c>
      <c r="AR311" t="s">
        <v>145</v>
      </c>
      <c r="AS311">
        <v>4</v>
      </c>
    </row>
    <row r="312" spans="1:45" x14ac:dyDescent="0.25">
      <c r="A312">
        <v>34306</v>
      </c>
      <c r="B312" t="s">
        <v>1035</v>
      </c>
      <c r="C312" s="85" t="str">
        <f>VLOOKUP(A312,ADM!$A$1:$N$343,14,0)</f>
        <v>CC Lodévois et Larzac</v>
      </c>
      <c r="F312" t="s">
        <v>113</v>
      </c>
      <c r="H312">
        <v>0</v>
      </c>
      <c r="I312" t="s">
        <v>114</v>
      </c>
      <c r="J312" t="s">
        <v>114</v>
      </c>
      <c r="K312" t="s">
        <v>114</v>
      </c>
      <c r="L312" t="s">
        <v>114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1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3</v>
      </c>
      <c r="AQ312" t="s">
        <v>145</v>
      </c>
      <c r="AR312" t="s">
        <v>145</v>
      </c>
      <c r="AS312">
        <v>3</v>
      </c>
    </row>
    <row r="313" spans="1:45" x14ac:dyDescent="0.25">
      <c r="A313">
        <v>34307</v>
      </c>
      <c r="B313" t="s">
        <v>1037</v>
      </c>
      <c r="C313" s="85" t="str">
        <f>VLOOKUP(A313,ADM!$A$1:$N$343,14,0)</f>
        <v>Montpellier Méditerranée Métropole</v>
      </c>
      <c r="F313" t="s">
        <v>113</v>
      </c>
      <c r="H313">
        <v>58</v>
      </c>
      <c r="I313" t="s">
        <v>114</v>
      </c>
      <c r="J313">
        <v>9</v>
      </c>
      <c r="K313">
        <v>4.5</v>
      </c>
      <c r="L313">
        <v>1.3333333329999999</v>
      </c>
      <c r="M313">
        <v>1</v>
      </c>
      <c r="N313">
        <v>18</v>
      </c>
      <c r="O313">
        <v>9</v>
      </c>
      <c r="P313">
        <v>4</v>
      </c>
      <c r="Q313">
        <v>0</v>
      </c>
      <c r="R313">
        <v>11</v>
      </c>
      <c r="S313">
        <v>27</v>
      </c>
      <c r="T313">
        <v>18</v>
      </c>
      <c r="U313">
        <v>2</v>
      </c>
      <c r="V313">
        <v>0</v>
      </c>
      <c r="W313">
        <v>12.069000000000001</v>
      </c>
      <c r="X313" s="1">
        <v>0.05</v>
      </c>
      <c r="Y313">
        <v>27</v>
      </c>
      <c r="Z313">
        <v>5</v>
      </c>
      <c r="AA313">
        <v>35</v>
      </c>
      <c r="AB313">
        <v>7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3</v>
      </c>
      <c r="AQ313" t="s">
        <v>988</v>
      </c>
      <c r="AR313" t="s">
        <v>168</v>
      </c>
      <c r="AS313">
        <v>1</v>
      </c>
    </row>
    <row r="314" spans="1:45" x14ac:dyDescent="0.25">
      <c r="A314">
        <v>34308</v>
      </c>
      <c r="B314" t="s">
        <v>1039</v>
      </c>
      <c r="C314" s="85" t="str">
        <f>VLOOKUP(A314,ADM!$A$1:$N$343,14,0)</f>
        <v>CC Grand Orb en Languedoc</v>
      </c>
      <c r="F314" t="s">
        <v>113</v>
      </c>
      <c r="H314">
        <v>0</v>
      </c>
      <c r="I314" t="s">
        <v>114</v>
      </c>
      <c r="J314" t="s">
        <v>114</v>
      </c>
      <c r="K314" t="s">
        <v>114</v>
      </c>
      <c r="L314" t="s">
        <v>114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 s="1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3</v>
      </c>
      <c r="AQ314" t="s">
        <v>145</v>
      </c>
      <c r="AR314" t="s">
        <v>145</v>
      </c>
      <c r="AS314">
        <v>4</v>
      </c>
    </row>
    <row r="315" spans="1:45" x14ac:dyDescent="0.25">
      <c r="A315">
        <v>34309</v>
      </c>
      <c r="B315" t="s">
        <v>1041</v>
      </c>
      <c r="C315" s="85" t="str">
        <f>VLOOKUP(A315,ADM!$A$1:$N$343,14,0)</f>
        <v>CC du Grand Pic Saint-Loup</v>
      </c>
      <c r="F315" t="s">
        <v>113</v>
      </c>
      <c r="H315">
        <v>53</v>
      </c>
      <c r="I315" t="s">
        <v>114</v>
      </c>
      <c r="J315">
        <v>9.5</v>
      </c>
      <c r="K315">
        <v>5</v>
      </c>
      <c r="L315" t="s">
        <v>114</v>
      </c>
      <c r="M315">
        <v>2</v>
      </c>
      <c r="N315">
        <v>19</v>
      </c>
      <c r="O315">
        <v>15</v>
      </c>
      <c r="P315">
        <v>19</v>
      </c>
      <c r="Q315">
        <v>0</v>
      </c>
      <c r="R315">
        <v>6</v>
      </c>
      <c r="S315">
        <v>32</v>
      </c>
      <c r="T315">
        <v>11</v>
      </c>
      <c r="U315">
        <v>4</v>
      </c>
      <c r="V315">
        <v>1.8868</v>
      </c>
      <c r="W315">
        <v>2.0407999999999999</v>
      </c>
      <c r="X315" s="1">
        <v>0.03</v>
      </c>
      <c r="Y315">
        <v>59</v>
      </c>
      <c r="Z315">
        <v>1</v>
      </c>
      <c r="AA315">
        <v>59</v>
      </c>
      <c r="AB315">
        <v>5</v>
      </c>
      <c r="AC315">
        <v>0</v>
      </c>
      <c r="AD315">
        <v>7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3</v>
      </c>
      <c r="AM315">
        <v>0</v>
      </c>
      <c r="AN315">
        <v>9</v>
      </c>
      <c r="AO315">
        <v>0</v>
      </c>
      <c r="AP315">
        <v>3</v>
      </c>
      <c r="AQ315" t="s">
        <v>1043</v>
      </c>
      <c r="AR315" t="s">
        <v>1044</v>
      </c>
      <c r="AS315">
        <v>1</v>
      </c>
    </row>
    <row r="316" spans="1:45" x14ac:dyDescent="0.25">
      <c r="A316">
        <v>34310</v>
      </c>
      <c r="B316" t="s">
        <v>1045</v>
      </c>
      <c r="C316" s="85" t="str">
        <f>VLOOKUP(A316,ADM!$A$1:$N$343,14,0)</f>
        <v>CC les Avant-Monts</v>
      </c>
      <c r="F316" t="s">
        <v>113</v>
      </c>
      <c r="H316">
        <v>31</v>
      </c>
      <c r="I316" t="s">
        <v>114</v>
      </c>
      <c r="J316">
        <v>6</v>
      </c>
      <c r="K316">
        <v>5</v>
      </c>
      <c r="L316">
        <v>5</v>
      </c>
      <c r="M316">
        <v>1</v>
      </c>
      <c r="N316">
        <v>6</v>
      </c>
      <c r="O316">
        <v>10</v>
      </c>
      <c r="P316">
        <v>5</v>
      </c>
      <c r="Q316">
        <v>0</v>
      </c>
      <c r="R316">
        <v>6</v>
      </c>
      <c r="S316">
        <v>11</v>
      </c>
      <c r="T316">
        <v>12</v>
      </c>
      <c r="U316">
        <v>2</v>
      </c>
      <c r="V316">
        <v>0</v>
      </c>
      <c r="W316">
        <v>13.793100000000001</v>
      </c>
      <c r="X316" s="1">
        <v>0.02</v>
      </c>
      <c r="Y316">
        <v>26</v>
      </c>
      <c r="Z316">
        <v>0</v>
      </c>
      <c r="AA316">
        <v>22</v>
      </c>
      <c r="AB316">
        <v>4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3</v>
      </c>
      <c r="AQ316" t="s">
        <v>145</v>
      </c>
      <c r="AR316" t="s">
        <v>723</v>
      </c>
      <c r="AS316">
        <v>3</v>
      </c>
    </row>
    <row r="317" spans="1:45" x14ac:dyDescent="0.25">
      <c r="A317">
        <v>34311</v>
      </c>
      <c r="B317" t="s">
        <v>1047</v>
      </c>
      <c r="C317" s="85" t="str">
        <f>VLOOKUP(A317,ADM!$A$1:$N$343,14,0)</f>
        <v>CA Hérault-Méditerranée</v>
      </c>
      <c r="F317" t="s">
        <v>113</v>
      </c>
      <c r="H317">
        <v>20</v>
      </c>
      <c r="I317" t="s">
        <v>114</v>
      </c>
      <c r="J317" t="s">
        <v>114</v>
      </c>
      <c r="K317" t="s">
        <v>114</v>
      </c>
      <c r="L317" t="s">
        <v>114</v>
      </c>
      <c r="M317">
        <v>0</v>
      </c>
      <c r="N317">
        <v>4</v>
      </c>
      <c r="O317">
        <v>11</v>
      </c>
      <c r="P317">
        <v>4</v>
      </c>
      <c r="Q317">
        <v>0</v>
      </c>
      <c r="R317">
        <v>10</v>
      </c>
      <c r="S317">
        <v>10</v>
      </c>
      <c r="T317">
        <v>0</v>
      </c>
      <c r="U317">
        <v>0</v>
      </c>
      <c r="V317">
        <v>0</v>
      </c>
      <c r="W317">
        <v>0</v>
      </c>
      <c r="X317" s="1">
        <v>0.03</v>
      </c>
      <c r="Y317">
        <v>26</v>
      </c>
      <c r="Z317">
        <v>14</v>
      </c>
      <c r="AA317">
        <v>20</v>
      </c>
      <c r="AB317">
        <v>0</v>
      </c>
      <c r="AC317">
        <v>0</v>
      </c>
      <c r="AD317">
        <v>2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2</v>
      </c>
      <c r="AM317">
        <v>0</v>
      </c>
      <c r="AN317">
        <v>4</v>
      </c>
      <c r="AO317">
        <v>0</v>
      </c>
      <c r="AP317">
        <v>3</v>
      </c>
      <c r="AQ317" t="s">
        <v>1049</v>
      </c>
      <c r="AR317" t="s">
        <v>145</v>
      </c>
      <c r="AS317">
        <v>3</v>
      </c>
    </row>
    <row r="318" spans="1:45" x14ac:dyDescent="0.25">
      <c r="A318">
        <v>34312</v>
      </c>
      <c r="B318" t="s">
        <v>1050</v>
      </c>
      <c r="C318" s="85" t="str">
        <f>VLOOKUP(A318,ADM!$A$1:$N$343,14,0)</f>
        <v>CC Grand Orb en Languedoc</v>
      </c>
      <c r="F318" t="s">
        <v>113</v>
      </c>
      <c r="H318">
        <v>13</v>
      </c>
      <c r="I318" t="s">
        <v>114</v>
      </c>
      <c r="J318" t="s">
        <v>114</v>
      </c>
      <c r="K318" t="s">
        <v>114</v>
      </c>
      <c r="L318" t="s">
        <v>114</v>
      </c>
      <c r="M318">
        <v>0</v>
      </c>
      <c r="N318">
        <v>0</v>
      </c>
      <c r="O318">
        <v>1</v>
      </c>
      <c r="P318">
        <v>0</v>
      </c>
      <c r="Q318">
        <v>0</v>
      </c>
      <c r="R318">
        <v>0</v>
      </c>
      <c r="S318">
        <v>6</v>
      </c>
      <c r="T318">
        <v>7</v>
      </c>
      <c r="U318">
        <v>0</v>
      </c>
      <c r="V318">
        <v>0</v>
      </c>
      <c r="W318">
        <v>0</v>
      </c>
      <c r="X318" s="1">
        <v>0.02</v>
      </c>
      <c r="Y318">
        <v>1</v>
      </c>
      <c r="Z318">
        <v>1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3</v>
      </c>
      <c r="AQ318" t="s">
        <v>299</v>
      </c>
      <c r="AR318" t="s">
        <v>145</v>
      </c>
      <c r="AS318">
        <v>4</v>
      </c>
    </row>
    <row r="319" spans="1:45" x14ac:dyDescent="0.25">
      <c r="A319">
        <v>34313</v>
      </c>
      <c r="B319" t="s">
        <v>1052</v>
      </c>
      <c r="C319" s="85" t="str">
        <f>VLOOKUP(A319,ADM!$A$1:$N$343,14,0)</f>
        <v>CC Vallée de l'hérault</v>
      </c>
      <c r="F319" t="s">
        <v>113</v>
      </c>
      <c r="H319">
        <v>0</v>
      </c>
      <c r="I319" t="s">
        <v>114</v>
      </c>
      <c r="J319" t="s">
        <v>114</v>
      </c>
      <c r="K319" t="s">
        <v>114</v>
      </c>
      <c r="L319" t="s">
        <v>114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 s="1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3</v>
      </c>
      <c r="AQ319" t="s">
        <v>145</v>
      </c>
      <c r="AR319" t="s">
        <v>145</v>
      </c>
      <c r="AS319">
        <v>3</v>
      </c>
    </row>
    <row r="320" spans="1:45" x14ac:dyDescent="0.25">
      <c r="A320">
        <v>34314</v>
      </c>
      <c r="B320" t="s">
        <v>1054</v>
      </c>
      <c r="C320" s="85" t="str">
        <f>VLOOKUP(A320,ADM!$A$1:$N$343,14,0)</f>
        <v>CC du Grand Pic Saint-Loup</v>
      </c>
      <c r="F320" t="s">
        <v>113</v>
      </c>
      <c r="H320">
        <v>0</v>
      </c>
      <c r="I320" t="s">
        <v>114</v>
      </c>
      <c r="J320" t="s">
        <v>114</v>
      </c>
      <c r="K320" t="s">
        <v>114</v>
      </c>
      <c r="L320" t="s">
        <v>114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 s="1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3</v>
      </c>
      <c r="AQ320" t="s">
        <v>145</v>
      </c>
      <c r="AR320" t="s">
        <v>145</v>
      </c>
      <c r="AS320">
        <v>3</v>
      </c>
    </row>
    <row r="321" spans="1:45" x14ac:dyDescent="0.25">
      <c r="A321">
        <v>34315</v>
      </c>
      <c r="B321" t="s">
        <v>1056</v>
      </c>
      <c r="C321" s="85" t="str">
        <f>VLOOKUP(A321,ADM!$A$1:$N$343,14,0)</f>
        <v>CC du Clermontais</v>
      </c>
      <c r="F321" t="s">
        <v>113</v>
      </c>
      <c r="H321">
        <v>0</v>
      </c>
      <c r="I321" t="s">
        <v>114</v>
      </c>
      <c r="J321" t="s">
        <v>114</v>
      </c>
      <c r="K321" t="s">
        <v>114</v>
      </c>
      <c r="L321" t="s">
        <v>114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 s="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3</v>
      </c>
      <c r="AQ321" t="s">
        <v>145</v>
      </c>
      <c r="AR321" t="s">
        <v>145</v>
      </c>
      <c r="AS321">
        <v>3</v>
      </c>
    </row>
    <row r="322" spans="1:45" x14ac:dyDescent="0.25">
      <c r="A322">
        <v>34316</v>
      </c>
      <c r="B322" t="s">
        <v>1058</v>
      </c>
      <c r="C322" s="85" t="str">
        <f>VLOOKUP(A322,ADM!$A$1:$N$343,14,0)</f>
        <v>CC Lodévois et Larzac</v>
      </c>
      <c r="F322" t="s">
        <v>113</v>
      </c>
      <c r="H322">
        <v>0</v>
      </c>
      <c r="I322" t="s">
        <v>114</v>
      </c>
      <c r="J322" t="s">
        <v>114</v>
      </c>
      <c r="K322" t="s">
        <v>114</v>
      </c>
      <c r="L322" t="s">
        <v>114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s="1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3</v>
      </c>
      <c r="AQ322" t="s">
        <v>145</v>
      </c>
      <c r="AR322" t="s">
        <v>145</v>
      </c>
      <c r="AS322">
        <v>4</v>
      </c>
    </row>
    <row r="323" spans="1:45" x14ac:dyDescent="0.25">
      <c r="A323">
        <v>34317</v>
      </c>
      <c r="B323" t="s">
        <v>1060</v>
      </c>
      <c r="C323" s="85" t="str">
        <f>VLOOKUP(A323,ADM!$A$1:$N$343,14,0)</f>
        <v>CC Lodévois et Larzac</v>
      </c>
      <c r="F323" t="s">
        <v>113</v>
      </c>
      <c r="H323">
        <v>0</v>
      </c>
      <c r="I323" t="s">
        <v>114</v>
      </c>
      <c r="J323" t="s">
        <v>114</v>
      </c>
      <c r="K323" t="s">
        <v>114</v>
      </c>
      <c r="L323" t="s">
        <v>114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 s="1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3</v>
      </c>
      <c r="AQ323" t="s">
        <v>145</v>
      </c>
      <c r="AR323" t="s">
        <v>145</v>
      </c>
      <c r="AS323">
        <v>4</v>
      </c>
    </row>
    <row r="324" spans="1:45" x14ac:dyDescent="0.25">
      <c r="A324">
        <v>34318</v>
      </c>
      <c r="B324" t="s">
        <v>1062</v>
      </c>
      <c r="C324" s="85" t="str">
        <f>VLOOKUP(A324,ADM!$A$1:$N$343,14,0)</f>
        <v>CC du Grand Pic Saint-Loup</v>
      </c>
      <c r="F324" t="s">
        <v>113</v>
      </c>
      <c r="H324">
        <v>0</v>
      </c>
      <c r="I324" t="s">
        <v>114</v>
      </c>
      <c r="J324" t="s">
        <v>114</v>
      </c>
      <c r="K324" t="s">
        <v>114</v>
      </c>
      <c r="L324" t="s">
        <v>114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 s="1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3</v>
      </c>
      <c r="AQ324" t="s">
        <v>145</v>
      </c>
      <c r="AR324" t="s">
        <v>145</v>
      </c>
      <c r="AS324">
        <v>4</v>
      </c>
    </row>
    <row r="325" spans="1:45" x14ac:dyDescent="0.25">
      <c r="A325">
        <v>34319</v>
      </c>
      <c r="B325" t="s">
        <v>1064</v>
      </c>
      <c r="C325" s="85" t="str">
        <f>VLOOKUP(A325,ADM!$A$1:$N$343,14,0)</f>
        <v>CC les Avant-Monts</v>
      </c>
      <c r="F325" t="s">
        <v>113</v>
      </c>
      <c r="H325">
        <v>0</v>
      </c>
      <c r="I325" t="s">
        <v>114</v>
      </c>
      <c r="J325" t="s">
        <v>114</v>
      </c>
      <c r="K325" t="s">
        <v>114</v>
      </c>
      <c r="L325" t="s">
        <v>114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 s="1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3</v>
      </c>
      <c r="AQ325" t="s">
        <v>145</v>
      </c>
      <c r="AR325" t="s">
        <v>145</v>
      </c>
      <c r="AS325">
        <v>3</v>
      </c>
    </row>
    <row r="326" spans="1:45" x14ac:dyDescent="0.25">
      <c r="A326">
        <v>34320</v>
      </c>
      <c r="B326" t="s">
        <v>1066</v>
      </c>
      <c r="C326" s="85" t="str">
        <f>VLOOKUP(A326,ADM!$A$1:$N$343,14,0)</f>
        <v>CC du Grand Pic Saint-Loup</v>
      </c>
      <c r="F326" t="s">
        <v>113</v>
      </c>
      <c r="H326">
        <v>66</v>
      </c>
      <c r="I326" t="s">
        <v>114</v>
      </c>
      <c r="J326">
        <v>2</v>
      </c>
      <c r="K326">
        <v>1.8333333329999999</v>
      </c>
      <c r="L326">
        <v>1</v>
      </c>
      <c r="M326">
        <v>5</v>
      </c>
      <c r="N326">
        <v>12</v>
      </c>
      <c r="O326">
        <v>11</v>
      </c>
      <c r="P326">
        <v>6</v>
      </c>
      <c r="Q326">
        <v>0</v>
      </c>
      <c r="R326">
        <v>17</v>
      </c>
      <c r="S326">
        <v>22</v>
      </c>
      <c r="T326">
        <v>24</v>
      </c>
      <c r="U326">
        <v>3</v>
      </c>
      <c r="V326">
        <v>3.125</v>
      </c>
      <c r="W326">
        <v>6.383</v>
      </c>
      <c r="X326" s="1">
        <v>7.0000000000000007E-2</v>
      </c>
      <c r="Y326">
        <v>30</v>
      </c>
      <c r="Z326">
        <v>3</v>
      </c>
      <c r="AA326">
        <v>36</v>
      </c>
      <c r="AB326">
        <v>18</v>
      </c>
      <c r="AC326">
        <v>0</v>
      </c>
      <c r="AD326">
        <v>4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7</v>
      </c>
      <c r="AM326">
        <v>0</v>
      </c>
      <c r="AN326">
        <v>7</v>
      </c>
      <c r="AO326">
        <v>12</v>
      </c>
      <c r="AP326">
        <v>3</v>
      </c>
      <c r="AQ326" t="s">
        <v>172</v>
      </c>
      <c r="AR326" t="s">
        <v>292</v>
      </c>
      <c r="AS326">
        <v>2</v>
      </c>
    </row>
    <row r="327" spans="1:45" x14ac:dyDescent="0.25">
      <c r="A327">
        <v>34321</v>
      </c>
      <c r="B327" t="s">
        <v>1068</v>
      </c>
      <c r="C327" s="85" t="str">
        <f>VLOOKUP(A327,ADM!$A$1:$N$343,14,0)</f>
        <v>CA du Pays de l'Or</v>
      </c>
      <c r="F327" t="s">
        <v>113</v>
      </c>
      <c r="H327">
        <v>9</v>
      </c>
      <c r="I327" t="s">
        <v>114</v>
      </c>
      <c r="J327" t="s">
        <v>114</v>
      </c>
      <c r="K327" t="s">
        <v>114</v>
      </c>
      <c r="L327" t="s">
        <v>114</v>
      </c>
      <c r="M327">
        <v>1</v>
      </c>
      <c r="N327">
        <v>12</v>
      </c>
      <c r="O327">
        <v>18</v>
      </c>
      <c r="P327">
        <v>14</v>
      </c>
      <c r="Q327">
        <v>0</v>
      </c>
      <c r="R327">
        <v>2</v>
      </c>
      <c r="S327">
        <v>3</v>
      </c>
      <c r="T327">
        <v>4</v>
      </c>
      <c r="U327">
        <v>0</v>
      </c>
      <c r="V327">
        <v>0</v>
      </c>
      <c r="W327">
        <v>0</v>
      </c>
      <c r="X327" s="1">
        <v>0.01</v>
      </c>
      <c r="Y327">
        <v>35</v>
      </c>
      <c r="Z327">
        <v>0</v>
      </c>
      <c r="AA327">
        <v>66</v>
      </c>
      <c r="AB327">
        <v>0</v>
      </c>
      <c r="AC327">
        <v>0</v>
      </c>
      <c r="AD327">
        <v>9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19</v>
      </c>
      <c r="AO327">
        <v>0</v>
      </c>
      <c r="AP327">
        <v>3</v>
      </c>
      <c r="AQ327" t="s">
        <v>145</v>
      </c>
      <c r="AR327" t="s">
        <v>145</v>
      </c>
      <c r="AS327">
        <v>1</v>
      </c>
    </row>
    <row r="328" spans="1:45" x14ac:dyDescent="0.25">
      <c r="A328">
        <v>34322</v>
      </c>
      <c r="B328" t="s">
        <v>1070</v>
      </c>
      <c r="C328" s="85" t="str">
        <f>VLOOKUP(A328,ADM!$A$1:$N$343,14,0)</f>
        <v>CC du Grand Pic Saint-Loup</v>
      </c>
      <c r="F328" t="s">
        <v>113</v>
      </c>
      <c r="H328">
        <v>0</v>
      </c>
      <c r="I328" t="s">
        <v>114</v>
      </c>
      <c r="J328" t="s">
        <v>114</v>
      </c>
      <c r="K328" t="s">
        <v>114</v>
      </c>
      <c r="L328" t="s">
        <v>114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 s="1">
        <v>0</v>
      </c>
      <c r="Y328">
        <v>2</v>
      </c>
      <c r="Z328">
        <v>0</v>
      </c>
      <c r="AA328">
        <v>1</v>
      </c>
      <c r="AB328">
        <v>0</v>
      </c>
      <c r="AC328">
        <v>0</v>
      </c>
      <c r="AD328">
        <v>5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9</v>
      </c>
      <c r="AO328">
        <v>0</v>
      </c>
      <c r="AP328">
        <v>3</v>
      </c>
      <c r="AQ328" t="s">
        <v>145</v>
      </c>
      <c r="AR328" t="s">
        <v>145</v>
      </c>
      <c r="AS328">
        <v>3</v>
      </c>
    </row>
    <row r="329" spans="1:45" x14ac:dyDescent="0.25">
      <c r="A329">
        <v>34323</v>
      </c>
      <c r="B329" t="s">
        <v>1072</v>
      </c>
      <c r="C329" s="85" t="str">
        <f>VLOOKUP(A329,ADM!$A$1:$N$343,14,0)</f>
        <v>CC du Clermontais</v>
      </c>
      <c r="F329" t="s">
        <v>113</v>
      </c>
      <c r="H329">
        <v>0</v>
      </c>
      <c r="I329" t="s">
        <v>114</v>
      </c>
      <c r="J329" t="s">
        <v>114</v>
      </c>
      <c r="K329" t="s">
        <v>114</v>
      </c>
      <c r="L329" t="s">
        <v>114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 s="1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3</v>
      </c>
      <c r="AQ329" t="s">
        <v>145</v>
      </c>
      <c r="AR329" t="s">
        <v>145</v>
      </c>
      <c r="AS329">
        <v>4</v>
      </c>
    </row>
    <row r="330" spans="1:45" x14ac:dyDescent="0.25">
      <c r="A330">
        <v>34325</v>
      </c>
      <c r="B330" t="s">
        <v>1079</v>
      </c>
      <c r="C330" s="85" t="str">
        <f>VLOOKUP(A330,ADM!$A$1:$N$343,14,0)</f>
        <v>CA de Béziers-Méditerranée</v>
      </c>
      <c r="F330" t="s">
        <v>113</v>
      </c>
      <c r="H330">
        <v>22</v>
      </c>
      <c r="I330" t="s">
        <v>114</v>
      </c>
      <c r="J330" t="s">
        <v>114</v>
      </c>
      <c r="K330">
        <v>3.5</v>
      </c>
      <c r="L330" t="s">
        <v>114</v>
      </c>
      <c r="M330">
        <v>2</v>
      </c>
      <c r="N330">
        <v>2</v>
      </c>
      <c r="O330">
        <v>7</v>
      </c>
      <c r="P330">
        <v>0</v>
      </c>
      <c r="Q330">
        <v>0</v>
      </c>
      <c r="R330">
        <v>7</v>
      </c>
      <c r="S330">
        <v>11</v>
      </c>
      <c r="T330">
        <v>3</v>
      </c>
      <c r="U330">
        <v>1</v>
      </c>
      <c r="V330">
        <v>0</v>
      </c>
      <c r="W330">
        <v>5</v>
      </c>
      <c r="X330" s="1">
        <v>0.03</v>
      </c>
      <c r="Y330">
        <v>12</v>
      </c>
      <c r="Z330">
        <v>2</v>
      </c>
      <c r="AA330">
        <v>12</v>
      </c>
      <c r="AB330">
        <v>2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1</v>
      </c>
      <c r="AO330">
        <v>0</v>
      </c>
      <c r="AP330">
        <v>3</v>
      </c>
      <c r="AQ330" t="s">
        <v>579</v>
      </c>
      <c r="AR330" t="s">
        <v>579</v>
      </c>
      <c r="AS330">
        <v>3</v>
      </c>
    </row>
    <row r="331" spans="1:45" x14ac:dyDescent="0.25">
      <c r="A331">
        <v>34326</v>
      </c>
      <c r="B331" t="s">
        <v>1081</v>
      </c>
      <c r="C331" s="85" t="str">
        <f>VLOOKUP(A331,ADM!$A$1:$N$343,14,0)</f>
        <v>CC Du Minervois au Caroux en Haut-Languedoc</v>
      </c>
      <c r="F331" t="s">
        <v>113</v>
      </c>
      <c r="H331">
        <v>0</v>
      </c>
      <c r="I331" t="s">
        <v>114</v>
      </c>
      <c r="J331" t="s">
        <v>114</v>
      </c>
      <c r="K331" t="s">
        <v>114</v>
      </c>
      <c r="L331" t="s">
        <v>114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 s="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3</v>
      </c>
      <c r="AQ331" t="s">
        <v>145</v>
      </c>
      <c r="AR331" t="s">
        <v>145</v>
      </c>
      <c r="AS331">
        <v>4</v>
      </c>
    </row>
    <row r="332" spans="1:45" x14ac:dyDescent="0.25">
      <c r="A332">
        <v>34328</v>
      </c>
      <c r="B332" t="s">
        <v>1088</v>
      </c>
      <c r="C332" s="85" t="str">
        <f>VLOOKUP(A332,ADM!$A$1:$N$343,14,0)</f>
        <v>CC Vallée de l'hérault</v>
      </c>
      <c r="F332" t="s">
        <v>113</v>
      </c>
      <c r="H332">
        <v>3</v>
      </c>
      <c r="I332" t="s">
        <v>114</v>
      </c>
      <c r="J332" t="s">
        <v>114</v>
      </c>
      <c r="K332" t="s">
        <v>114</v>
      </c>
      <c r="L332" t="s">
        <v>114</v>
      </c>
      <c r="M332">
        <v>0</v>
      </c>
      <c r="N332">
        <v>1</v>
      </c>
      <c r="O332">
        <v>1</v>
      </c>
      <c r="P332">
        <v>1</v>
      </c>
      <c r="Q332">
        <v>0</v>
      </c>
      <c r="R332">
        <v>1</v>
      </c>
      <c r="S332">
        <v>2</v>
      </c>
      <c r="T332">
        <v>0</v>
      </c>
      <c r="U332">
        <v>0</v>
      </c>
      <c r="V332">
        <v>0</v>
      </c>
      <c r="W332">
        <v>0</v>
      </c>
      <c r="X332" s="1">
        <v>0.01</v>
      </c>
      <c r="Y332">
        <v>0</v>
      </c>
      <c r="Z332">
        <v>0</v>
      </c>
      <c r="AA332">
        <v>3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3</v>
      </c>
      <c r="AQ332" t="s">
        <v>145</v>
      </c>
      <c r="AR332" t="s">
        <v>145</v>
      </c>
      <c r="AS332">
        <v>3</v>
      </c>
    </row>
    <row r="333" spans="1:45" x14ac:dyDescent="0.25">
      <c r="A333">
        <v>34329</v>
      </c>
      <c r="B333" t="s">
        <v>1090</v>
      </c>
      <c r="C333" s="85" t="str">
        <f>VLOOKUP(A333,ADM!$A$1:$N$343,14,0)</f>
        <v>CC la Domitienne</v>
      </c>
      <c r="F333" t="s">
        <v>113</v>
      </c>
      <c r="H333">
        <v>42</v>
      </c>
      <c r="I333" t="s">
        <v>114</v>
      </c>
      <c r="J333" t="s">
        <v>114</v>
      </c>
      <c r="K333" t="s">
        <v>114</v>
      </c>
      <c r="L333">
        <v>5.5</v>
      </c>
      <c r="M333">
        <v>1</v>
      </c>
      <c r="N333">
        <v>9</v>
      </c>
      <c r="O333">
        <v>8</v>
      </c>
      <c r="P333">
        <v>11</v>
      </c>
      <c r="Q333">
        <v>0</v>
      </c>
      <c r="R333">
        <v>0</v>
      </c>
      <c r="S333">
        <v>11</v>
      </c>
      <c r="T333">
        <v>26</v>
      </c>
      <c r="U333">
        <v>5</v>
      </c>
      <c r="V333">
        <v>0</v>
      </c>
      <c r="W333">
        <v>7.5</v>
      </c>
      <c r="X333" s="1">
        <v>0.04</v>
      </c>
      <c r="Y333">
        <v>32</v>
      </c>
      <c r="Z333">
        <v>2</v>
      </c>
      <c r="AA333">
        <v>32</v>
      </c>
      <c r="AB333">
        <v>2</v>
      </c>
      <c r="AC333">
        <v>0</v>
      </c>
      <c r="AD333">
        <v>9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19</v>
      </c>
      <c r="AO333">
        <v>8</v>
      </c>
      <c r="AP333">
        <v>3</v>
      </c>
      <c r="AQ333" t="s">
        <v>632</v>
      </c>
      <c r="AR333" t="s">
        <v>632</v>
      </c>
      <c r="AS333">
        <v>1</v>
      </c>
    </row>
    <row r="334" spans="1:45" x14ac:dyDescent="0.25">
      <c r="A334">
        <v>34331</v>
      </c>
      <c r="B334" t="s">
        <v>1092</v>
      </c>
      <c r="C334" s="85" t="str">
        <f>VLOOKUP(A334,ADM!$A$1:$N$343,14,0)</f>
        <v>CC Du Minervois au Caroux en Haut-Languedoc</v>
      </c>
      <c r="F334" t="s">
        <v>113</v>
      </c>
      <c r="H334">
        <v>0</v>
      </c>
      <c r="I334" t="s">
        <v>114</v>
      </c>
      <c r="J334" t="s">
        <v>114</v>
      </c>
      <c r="K334" t="s">
        <v>114</v>
      </c>
      <c r="L334" t="s">
        <v>114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 s="1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3</v>
      </c>
      <c r="AQ334" t="s">
        <v>145</v>
      </c>
      <c r="AR334" t="s">
        <v>145</v>
      </c>
      <c r="AS334">
        <v>4</v>
      </c>
    </row>
    <row r="335" spans="1:45" x14ac:dyDescent="0.25">
      <c r="A335">
        <v>34333</v>
      </c>
      <c r="B335" t="s">
        <v>1099</v>
      </c>
      <c r="C335" s="85" t="str">
        <f>VLOOKUP(A335,ADM!$A$1:$N$343,14,0)</f>
        <v>Sète Agglopôle Méditerranée</v>
      </c>
      <c r="F335" t="s">
        <v>113</v>
      </c>
      <c r="H335">
        <v>0</v>
      </c>
      <c r="I335" t="s">
        <v>114</v>
      </c>
      <c r="J335" t="s">
        <v>114</v>
      </c>
      <c r="K335" t="s">
        <v>114</v>
      </c>
      <c r="L335" t="s">
        <v>114</v>
      </c>
      <c r="M335">
        <v>5</v>
      </c>
      <c r="N335">
        <v>19</v>
      </c>
      <c r="O335">
        <v>6</v>
      </c>
      <c r="P335">
        <v>7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 s="1">
        <v>0</v>
      </c>
      <c r="Y335">
        <v>56</v>
      </c>
      <c r="Z335">
        <v>0</v>
      </c>
      <c r="AA335">
        <v>50</v>
      </c>
      <c r="AB335">
        <v>0</v>
      </c>
      <c r="AC335">
        <v>0</v>
      </c>
      <c r="AD335">
        <v>6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12</v>
      </c>
      <c r="AO335">
        <v>0</v>
      </c>
      <c r="AP335">
        <v>3</v>
      </c>
      <c r="AQ335" t="s">
        <v>145</v>
      </c>
      <c r="AR335" t="s">
        <v>145</v>
      </c>
      <c r="AS335">
        <v>1</v>
      </c>
    </row>
    <row r="336" spans="1:45" x14ac:dyDescent="0.25">
      <c r="A336">
        <v>34334</v>
      </c>
      <c r="B336" t="s">
        <v>1101</v>
      </c>
      <c r="C336" s="85" t="str">
        <f>VLOOKUP(A336,ADM!$A$1:$N$343,14,0)</f>
        <v>CC Du Minervois au Caroux en Haut-Languedoc</v>
      </c>
      <c r="F336" t="s">
        <v>113</v>
      </c>
      <c r="H336">
        <v>0</v>
      </c>
      <c r="I336" t="s">
        <v>114</v>
      </c>
      <c r="J336" t="s">
        <v>114</v>
      </c>
      <c r="K336" t="s">
        <v>114</v>
      </c>
      <c r="L336" t="s">
        <v>114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 s="1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3</v>
      </c>
      <c r="AQ336" t="s">
        <v>145</v>
      </c>
      <c r="AR336" t="s">
        <v>145</v>
      </c>
      <c r="AS336">
        <v>4</v>
      </c>
    </row>
    <row r="337" spans="1:45" x14ac:dyDescent="0.25">
      <c r="A337">
        <v>34335</v>
      </c>
      <c r="B337" t="s">
        <v>1103</v>
      </c>
      <c r="C337" s="85" t="str">
        <f>VLOOKUP(A337,ADM!$A$1:$N$343,14,0)</f>
        <v>CC Grand Orb en Languedoc</v>
      </c>
      <c r="F337" t="s">
        <v>113</v>
      </c>
      <c r="H337">
        <v>2</v>
      </c>
      <c r="I337" t="s">
        <v>114</v>
      </c>
      <c r="J337" t="s">
        <v>114</v>
      </c>
      <c r="K337" t="s">
        <v>114</v>
      </c>
      <c r="L337" t="s">
        <v>114</v>
      </c>
      <c r="Q337">
        <v>0</v>
      </c>
      <c r="R337">
        <v>0</v>
      </c>
      <c r="S337">
        <v>0</v>
      </c>
      <c r="T337">
        <v>2</v>
      </c>
      <c r="U337">
        <v>0</v>
      </c>
      <c r="V337">
        <v>0</v>
      </c>
      <c r="W337">
        <v>0</v>
      </c>
      <c r="X337" s="1">
        <v>0.01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3</v>
      </c>
      <c r="AQ337" t="s">
        <v>145</v>
      </c>
      <c r="AR337" t="s">
        <v>145</v>
      </c>
      <c r="AS337">
        <v>3</v>
      </c>
    </row>
    <row r="338" spans="1:45" x14ac:dyDescent="0.25">
      <c r="A338">
        <v>34338</v>
      </c>
      <c r="B338" t="s">
        <v>1115</v>
      </c>
      <c r="C338" s="85" t="str">
        <f>VLOOKUP(A338,ADM!$A$1:$N$343,14,0)</f>
        <v>CC du Clermontais</v>
      </c>
      <c r="F338" t="s">
        <v>113</v>
      </c>
      <c r="H338">
        <v>0</v>
      </c>
      <c r="I338" t="s">
        <v>114</v>
      </c>
      <c r="J338" t="s">
        <v>114</v>
      </c>
      <c r="K338" t="s">
        <v>114</v>
      </c>
      <c r="L338" t="s">
        <v>114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 s="1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3</v>
      </c>
      <c r="AQ338" t="s">
        <v>145</v>
      </c>
      <c r="AR338" t="s">
        <v>145</v>
      </c>
      <c r="AS338">
        <v>3</v>
      </c>
    </row>
    <row r="339" spans="1:45" x14ac:dyDescent="0.25">
      <c r="A339">
        <v>34339</v>
      </c>
      <c r="B339" t="s">
        <v>1117</v>
      </c>
      <c r="C339" s="85" t="str">
        <f>VLOOKUP(A339,ADM!$A$1:$N$343,14,0)</f>
        <v>CC Sud-Hérault</v>
      </c>
      <c r="F339" t="s">
        <v>113</v>
      </c>
      <c r="H339">
        <v>0</v>
      </c>
      <c r="I339" t="s">
        <v>114</v>
      </c>
      <c r="J339" t="s">
        <v>114</v>
      </c>
      <c r="K339" t="s">
        <v>114</v>
      </c>
      <c r="L339" t="s">
        <v>114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 s="1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3</v>
      </c>
      <c r="AQ339" t="s">
        <v>145</v>
      </c>
      <c r="AR339" t="s">
        <v>145</v>
      </c>
      <c r="AS339">
        <v>4</v>
      </c>
    </row>
    <row r="340" spans="1:45" x14ac:dyDescent="0.25">
      <c r="A340">
        <v>34340</v>
      </c>
      <c r="B340" t="s">
        <v>1119</v>
      </c>
      <c r="C340" s="85" t="str">
        <f>VLOOKUP(A340,ADM!$A$1:$N$343,14,0)</f>
        <v>CC du Pays de Lunel</v>
      </c>
      <c r="F340" t="s">
        <v>113</v>
      </c>
      <c r="H340">
        <v>0</v>
      </c>
      <c r="I340" t="s">
        <v>114</v>
      </c>
      <c r="J340" t="s">
        <v>114</v>
      </c>
      <c r="K340" t="s">
        <v>114</v>
      </c>
      <c r="L340" t="s">
        <v>114</v>
      </c>
      <c r="M340">
        <v>0</v>
      </c>
      <c r="N340">
        <v>0</v>
      </c>
      <c r="O340">
        <v>2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 s="1">
        <v>0</v>
      </c>
      <c r="Y340">
        <v>2</v>
      </c>
      <c r="Z340">
        <v>0</v>
      </c>
      <c r="AA340">
        <v>6</v>
      </c>
      <c r="AB340">
        <v>0</v>
      </c>
      <c r="AC340">
        <v>0</v>
      </c>
      <c r="AD340">
        <v>4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6</v>
      </c>
      <c r="AO340">
        <v>0</v>
      </c>
      <c r="AP340">
        <v>3</v>
      </c>
      <c r="AQ340" t="s">
        <v>145</v>
      </c>
      <c r="AR340" t="s">
        <v>145</v>
      </c>
      <c r="AS340">
        <v>1</v>
      </c>
    </row>
    <row r="341" spans="1:45" x14ac:dyDescent="0.25">
      <c r="A341">
        <v>34342</v>
      </c>
      <c r="B341" t="s">
        <v>1126</v>
      </c>
      <c r="C341" s="85" t="str">
        <f>VLOOKUP(A341,ADM!$A$1:$N$343,14,0)</f>
        <v>CC du Grand Pic Saint-Loup</v>
      </c>
      <c r="F341" t="s">
        <v>113</v>
      </c>
      <c r="H341">
        <v>0</v>
      </c>
      <c r="I341" t="s">
        <v>114</v>
      </c>
      <c r="J341" t="s">
        <v>114</v>
      </c>
      <c r="K341" t="s">
        <v>114</v>
      </c>
      <c r="L341" t="s">
        <v>114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 s="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3</v>
      </c>
      <c r="AQ341" t="s">
        <v>145</v>
      </c>
      <c r="AR341" t="s">
        <v>145</v>
      </c>
      <c r="AS341">
        <v>2</v>
      </c>
    </row>
    <row r="342" spans="1:45" x14ac:dyDescent="0.25">
      <c r="A342">
        <v>34343</v>
      </c>
      <c r="B342" t="s">
        <v>1128</v>
      </c>
      <c r="C342" s="85" t="str">
        <f>VLOOKUP(A342,ADM!$A$1:$N$343,14,0)</f>
        <v>CC du Grand Pic Saint-Loup</v>
      </c>
      <c r="F342" t="s">
        <v>113</v>
      </c>
      <c r="H342">
        <v>30</v>
      </c>
      <c r="I342" t="s">
        <v>114</v>
      </c>
      <c r="J342">
        <v>5</v>
      </c>
      <c r="K342" t="s">
        <v>114</v>
      </c>
      <c r="L342" t="s">
        <v>114</v>
      </c>
      <c r="M342">
        <v>2</v>
      </c>
      <c r="N342">
        <v>5</v>
      </c>
      <c r="O342">
        <v>5</v>
      </c>
      <c r="P342">
        <v>2</v>
      </c>
      <c r="Q342">
        <v>4</v>
      </c>
      <c r="R342">
        <v>4</v>
      </c>
      <c r="S342">
        <v>2</v>
      </c>
      <c r="T342">
        <v>13</v>
      </c>
      <c r="U342">
        <v>7</v>
      </c>
      <c r="V342">
        <v>0</v>
      </c>
      <c r="W342">
        <v>3.3332999999999999</v>
      </c>
      <c r="X342" s="1">
        <v>0.06</v>
      </c>
      <c r="Y342">
        <v>17</v>
      </c>
      <c r="Z342">
        <v>3</v>
      </c>
      <c r="AA342">
        <v>17</v>
      </c>
      <c r="AB342">
        <v>1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3</v>
      </c>
      <c r="AQ342" t="s">
        <v>614</v>
      </c>
      <c r="AR342" t="s">
        <v>245</v>
      </c>
      <c r="AS342">
        <v>2</v>
      </c>
    </row>
    <row r="343" spans="1:45" s="10" customFormat="1" x14ac:dyDescent="0.25">
      <c r="A343" s="89">
        <v>34344</v>
      </c>
      <c r="B343" s="89" t="s">
        <v>1130</v>
      </c>
      <c r="C343" s="85" t="str">
        <f>VLOOKUP(A343,ADM!$A$1:$N$343,14,0)</f>
        <v>CA du Pays de l'Or</v>
      </c>
      <c r="D343" s="89"/>
      <c r="E343" s="89"/>
      <c r="F343" s="89" t="s">
        <v>113</v>
      </c>
      <c r="G343" s="89"/>
      <c r="H343" s="90">
        <v>217</v>
      </c>
      <c r="I343" s="89" t="s">
        <v>114</v>
      </c>
      <c r="J343" s="89">
        <f>149/2</f>
        <v>74.5</v>
      </c>
      <c r="K343" s="89">
        <f>98/7</f>
        <v>14</v>
      </c>
      <c r="L343" s="89" t="s">
        <v>114</v>
      </c>
      <c r="M343" s="90">
        <v>47</v>
      </c>
      <c r="N343" s="90">
        <v>149</v>
      </c>
      <c r="O343" s="90">
        <v>98</v>
      </c>
      <c r="P343" s="90">
        <v>34</v>
      </c>
      <c r="Q343" s="90">
        <v>2</v>
      </c>
      <c r="R343" s="90">
        <v>37</v>
      </c>
      <c r="S343" s="90">
        <v>109</v>
      </c>
      <c r="T343" s="90">
        <v>69</v>
      </c>
      <c r="U343" s="90">
        <v>0</v>
      </c>
      <c r="V343" s="90">
        <v>0</v>
      </c>
      <c r="W343" s="90">
        <v>1.43</v>
      </c>
      <c r="X343" s="1">
        <v>4.2250778816199375E-2</v>
      </c>
      <c r="Y343" s="89">
        <v>411</v>
      </c>
      <c r="Z343" s="89">
        <v>5</v>
      </c>
      <c r="AA343" s="89">
        <v>378</v>
      </c>
      <c r="AB343" s="89">
        <v>9</v>
      </c>
      <c r="AC343" s="89">
        <v>0</v>
      </c>
      <c r="AD343" s="89">
        <v>4</v>
      </c>
      <c r="AE343" s="89">
        <v>0</v>
      </c>
      <c r="AF343" s="89">
        <v>0</v>
      </c>
      <c r="AG343" s="89">
        <v>0</v>
      </c>
      <c r="AH343" s="89">
        <v>0</v>
      </c>
      <c r="AI343" s="89">
        <v>0</v>
      </c>
      <c r="AJ343" s="89">
        <v>0</v>
      </c>
      <c r="AK343" s="89">
        <v>0</v>
      </c>
      <c r="AL343" s="89">
        <v>2</v>
      </c>
      <c r="AM343" s="89">
        <v>0</v>
      </c>
      <c r="AN343" s="89">
        <v>7</v>
      </c>
      <c r="AO343" s="89">
        <v>0</v>
      </c>
      <c r="AP343">
        <v>3</v>
      </c>
      <c r="AQ343" s="89">
        <v>82.2</v>
      </c>
      <c r="AR343" s="89">
        <v>42</v>
      </c>
      <c r="AS343">
        <v>1</v>
      </c>
    </row>
  </sheetData>
  <sortState ref="A2:AS343">
    <sortCondition descending="1" ref="F2:F34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21"/>
  <sheetViews>
    <sheetView topLeftCell="T1" workbookViewId="0">
      <selection activeCell="M3" sqref="M3"/>
    </sheetView>
  </sheetViews>
  <sheetFormatPr baseColWidth="10" defaultRowHeight="15" x14ac:dyDescent="0.25"/>
  <cols>
    <col min="1" max="1" width="54.7109375" customWidth="1"/>
    <col min="2" max="2" width="20" customWidth="1"/>
    <col min="3" max="6" width="19.5703125" customWidth="1"/>
    <col min="7" max="7" width="19" customWidth="1"/>
    <col min="8" max="8" width="20" customWidth="1"/>
    <col min="9" max="10" width="19" customWidth="1"/>
    <col min="11" max="11" width="20.42578125" customWidth="1"/>
    <col min="12" max="12" width="24.140625" customWidth="1"/>
    <col min="13" max="13" width="24.85546875" customWidth="1"/>
    <col min="14" max="14" width="23.5703125" customWidth="1"/>
    <col min="15" max="15" width="24.85546875" customWidth="1"/>
    <col min="16" max="16" width="19.85546875" customWidth="1"/>
    <col min="17" max="17" width="21.85546875" customWidth="1"/>
    <col min="18" max="18" width="57.42578125" customWidth="1"/>
    <col min="19" max="19" width="36.140625" customWidth="1"/>
    <col min="20" max="20" width="42.5703125" customWidth="1"/>
    <col min="21" max="21" width="28.42578125" customWidth="1"/>
    <col min="22" max="22" width="32.140625" customWidth="1"/>
    <col min="23" max="23" width="20" customWidth="1"/>
    <col min="24" max="24" width="17.5703125" customWidth="1"/>
    <col min="25" max="25" width="19.5703125" customWidth="1"/>
    <col min="26" max="26" width="33.85546875" customWidth="1"/>
    <col min="27" max="27" width="22.42578125" customWidth="1"/>
    <col min="28" max="28" width="22.28515625" customWidth="1"/>
    <col min="29" max="29" width="19.7109375" bestFit="1" customWidth="1"/>
  </cols>
  <sheetData>
    <row r="2" spans="1:34" x14ac:dyDescent="0.25">
      <c r="A2">
        <v>1</v>
      </c>
      <c r="B2">
        <v>2</v>
      </c>
      <c r="C2" s="85">
        <v>3</v>
      </c>
      <c r="D2" s="85">
        <v>4</v>
      </c>
      <c r="E2" s="85">
        <v>5</v>
      </c>
      <c r="F2" s="85">
        <v>6</v>
      </c>
      <c r="G2" s="85">
        <v>7</v>
      </c>
      <c r="H2" s="85">
        <v>8</v>
      </c>
      <c r="I2" s="85">
        <v>9</v>
      </c>
      <c r="J2" s="85">
        <v>10</v>
      </c>
      <c r="K2" s="85">
        <v>11</v>
      </c>
      <c r="L2" s="85">
        <v>12</v>
      </c>
      <c r="M2" s="85">
        <v>13</v>
      </c>
      <c r="N2" s="85">
        <v>14</v>
      </c>
      <c r="O2" s="85">
        <v>15</v>
      </c>
      <c r="P2" s="85">
        <v>16</v>
      </c>
      <c r="Q2" s="85">
        <v>17</v>
      </c>
      <c r="R2" s="85">
        <v>18</v>
      </c>
      <c r="S2" s="85">
        <v>19</v>
      </c>
      <c r="T2" s="85">
        <v>20</v>
      </c>
      <c r="U2" s="85">
        <v>21</v>
      </c>
      <c r="V2" s="85">
        <v>22</v>
      </c>
      <c r="W2" s="85">
        <v>23</v>
      </c>
      <c r="X2" s="85">
        <v>24</v>
      </c>
      <c r="Y2" s="85">
        <v>25</v>
      </c>
      <c r="Z2" s="85">
        <v>26</v>
      </c>
      <c r="AA2" s="85">
        <v>27</v>
      </c>
      <c r="AB2" s="85">
        <v>28</v>
      </c>
      <c r="AC2" s="85">
        <v>29</v>
      </c>
      <c r="AD2" s="85">
        <v>30</v>
      </c>
      <c r="AE2" s="85">
        <v>31</v>
      </c>
      <c r="AF2" s="85">
        <v>32</v>
      </c>
      <c r="AG2">
        <v>33</v>
      </c>
      <c r="AH2">
        <v>34</v>
      </c>
    </row>
    <row r="3" spans="1:34" x14ac:dyDescent="0.25">
      <c r="A3" s="104" t="s">
        <v>1158</v>
      </c>
      <c r="B3" s="85" t="s">
        <v>1287</v>
      </c>
      <c r="C3" s="85" t="s">
        <v>1311</v>
      </c>
      <c r="D3" s="85" t="s">
        <v>1312</v>
      </c>
      <c r="E3" s="85" t="s">
        <v>1313</v>
      </c>
      <c r="F3" s="85" t="s">
        <v>1314</v>
      </c>
      <c r="G3" s="85" t="s">
        <v>1289</v>
      </c>
      <c r="H3" s="85" t="s">
        <v>1290</v>
      </c>
      <c r="I3" s="85" t="s">
        <v>1291</v>
      </c>
      <c r="J3" s="85" t="s">
        <v>1292</v>
      </c>
      <c r="K3" s="85" t="s">
        <v>1293</v>
      </c>
      <c r="L3" s="85" t="s">
        <v>1294</v>
      </c>
      <c r="M3" s="85" t="s">
        <v>1295</v>
      </c>
      <c r="N3" s="85" t="s">
        <v>1296</v>
      </c>
      <c r="O3" s="85" t="s">
        <v>1297</v>
      </c>
      <c r="P3" s="85" t="s">
        <v>1298</v>
      </c>
      <c r="Q3" s="85" t="s">
        <v>1299</v>
      </c>
      <c r="R3" s="85" t="s">
        <v>1300</v>
      </c>
      <c r="S3" s="85" t="s">
        <v>1301</v>
      </c>
      <c r="T3" s="85" t="s">
        <v>1302</v>
      </c>
      <c r="U3" s="85" t="s">
        <v>1303</v>
      </c>
      <c r="V3" s="85" t="s">
        <v>1304</v>
      </c>
      <c r="W3" s="85" t="s">
        <v>1305</v>
      </c>
      <c r="X3" s="85" t="s">
        <v>1306</v>
      </c>
      <c r="Y3" s="85" t="s">
        <v>1307</v>
      </c>
      <c r="Z3" s="85" t="s">
        <v>1308</v>
      </c>
      <c r="AA3" s="85" t="s">
        <v>1309</v>
      </c>
      <c r="AB3" s="85" t="s">
        <v>1310</v>
      </c>
      <c r="AC3" s="107" t="s">
        <v>1365</v>
      </c>
      <c r="AD3" s="107" t="s">
        <v>1366</v>
      </c>
      <c r="AE3" s="107" t="s">
        <v>1367</v>
      </c>
      <c r="AF3" s="107" t="s">
        <v>1368</v>
      </c>
      <c r="AG3" s="107" t="s">
        <v>1369</v>
      </c>
      <c r="AH3" s="107" t="s">
        <v>1370</v>
      </c>
    </row>
    <row r="4" spans="1:34" x14ac:dyDescent="0.25">
      <c r="A4" s="96" t="s">
        <v>171</v>
      </c>
      <c r="B4" s="97">
        <v>8683</v>
      </c>
      <c r="C4" s="97">
        <v>289</v>
      </c>
      <c r="D4" s="97">
        <v>1163</v>
      </c>
      <c r="E4" s="97">
        <v>420</v>
      </c>
      <c r="F4" s="97">
        <v>273</v>
      </c>
      <c r="G4" s="97">
        <v>181</v>
      </c>
      <c r="H4" s="97">
        <v>1455</v>
      </c>
      <c r="I4" s="97">
        <v>3709</v>
      </c>
      <c r="J4" s="97">
        <v>2542</v>
      </c>
      <c r="K4" s="97">
        <v>796</v>
      </c>
      <c r="L4" s="97">
        <v>4690</v>
      </c>
      <c r="M4" s="97">
        <v>975</v>
      </c>
      <c r="N4" s="97">
        <v>4574</v>
      </c>
      <c r="O4" s="97">
        <v>902</v>
      </c>
      <c r="P4" s="97">
        <v>0</v>
      </c>
      <c r="Q4" s="97">
        <v>219</v>
      </c>
      <c r="R4" s="97">
        <v>0</v>
      </c>
      <c r="S4" s="97">
        <v>0</v>
      </c>
      <c r="T4" s="97">
        <v>0</v>
      </c>
      <c r="U4" s="97">
        <v>0</v>
      </c>
      <c r="V4" s="97">
        <v>0</v>
      </c>
      <c r="W4" s="97">
        <v>0</v>
      </c>
      <c r="X4" s="97">
        <v>18</v>
      </c>
      <c r="Y4" s="97">
        <v>189</v>
      </c>
      <c r="Z4" s="97">
        <v>182</v>
      </c>
      <c r="AA4" s="97">
        <v>429</v>
      </c>
      <c r="AB4" s="97">
        <v>79</v>
      </c>
      <c r="AC4">
        <v>15.2</v>
      </c>
      <c r="AD4">
        <v>4.7</v>
      </c>
      <c r="AE4">
        <v>3.6</v>
      </c>
      <c r="AF4">
        <v>5.8</v>
      </c>
      <c r="AG4">
        <v>9.3553999999999995</v>
      </c>
      <c r="AH4" s="85">
        <v>4.3247</v>
      </c>
    </row>
    <row r="5" spans="1:34" x14ac:dyDescent="0.25">
      <c r="A5" s="96" t="s">
        <v>322</v>
      </c>
      <c r="B5" s="97">
        <v>1284</v>
      </c>
      <c r="C5" s="97">
        <v>182</v>
      </c>
      <c r="D5" s="97">
        <v>498</v>
      </c>
      <c r="E5" s="97">
        <v>421</v>
      </c>
      <c r="F5" s="97">
        <v>217</v>
      </c>
      <c r="G5" s="97">
        <v>111</v>
      </c>
      <c r="H5" s="97">
        <v>275</v>
      </c>
      <c r="I5" s="97">
        <v>532</v>
      </c>
      <c r="J5" s="97">
        <v>340</v>
      </c>
      <c r="K5" s="97">
        <v>26</v>
      </c>
      <c r="L5" s="97">
        <v>1473</v>
      </c>
      <c r="M5" s="97">
        <v>65</v>
      </c>
      <c r="N5" s="97">
        <v>1494</v>
      </c>
      <c r="O5" s="97">
        <v>141</v>
      </c>
      <c r="P5" s="97">
        <v>0</v>
      </c>
      <c r="Q5" s="97">
        <v>106</v>
      </c>
      <c r="R5" s="97">
        <v>0</v>
      </c>
      <c r="S5" s="97">
        <v>0</v>
      </c>
      <c r="T5" s="97">
        <v>0</v>
      </c>
      <c r="U5" s="97">
        <v>0</v>
      </c>
      <c r="V5" s="97">
        <v>0</v>
      </c>
      <c r="W5" s="97">
        <v>0</v>
      </c>
      <c r="X5" s="97">
        <v>36</v>
      </c>
      <c r="Y5" s="97">
        <v>15</v>
      </c>
      <c r="Z5" s="97">
        <v>57</v>
      </c>
      <c r="AA5" s="97">
        <v>176</v>
      </c>
      <c r="AB5" s="97">
        <v>11</v>
      </c>
      <c r="AC5" s="85">
        <v>4</v>
      </c>
      <c r="AD5" s="85">
        <v>12.5</v>
      </c>
      <c r="AE5" s="85">
        <v>10.8</v>
      </c>
      <c r="AF5" s="85">
        <v>12.8</v>
      </c>
      <c r="AG5" s="85">
        <v>9.0386000000000006</v>
      </c>
      <c r="AH5" s="85">
        <v>0.55120000000000002</v>
      </c>
    </row>
    <row r="6" spans="1:34" x14ac:dyDescent="0.25">
      <c r="A6" s="96" t="s">
        <v>125</v>
      </c>
      <c r="B6" s="97">
        <v>3073</v>
      </c>
      <c r="C6" s="97">
        <v>124</v>
      </c>
      <c r="D6" s="97">
        <v>661</v>
      </c>
      <c r="E6" s="97">
        <v>544</v>
      </c>
      <c r="F6" s="97">
        <v>420</v>
      </c>
      <c r="G6" s="97">
        <v>54</v>
      </c>
      <c r="H6" s="97">
        <v>615</v>
      </c>
      <c r="I6" s="97">
        <v>1270</v>
      </c>
      <c r="J6" s="97">
        <v>958</v>
      </c>
      <c r="K6" s="97">
        <v>176</v>
      </c>
      <c r="L6" s="97">
        <v>2181</v>
      </c>
      <c r="M6" s="97">
        <v>224</v>
      </c>
      <c r="N6" s="97">
        <v>1967</v>
      </c>
      <c r="O6" s="97">
        <v>428</v>
      </c>
      <c r="P6" s="97">
        <v>20</v>
      </c>
      <c r="Q6" s="97">
        <v>223</v>
      </c>
      <c r="R6" s="97">
        <v>0</v>
      </c>
      <c r="S6" s="97">
        <v>0</v>
      </c>
      <c r="T6" s="97">
        <v>0</v>
      </c>
      <c r="U6" s="97">
        <v>8</v>
      </c>
      <c r="V6" s="97">
        <v>0</v>
      </c>
      <c r="W6" s="97">
        <v>0</v>
      </c>
      <c r="X6" s="97">
        <v>23</v>
      </c>
      <c r="Y6" s="97">
        <v>210</v>
      </c>
      <c r="Z6" s="97">
        <v>204</v>
      </c>
      <c r="AA6" s="97">
        <v>374</v>
      </c>
      <c r="AB6" s="97">
        <v>93</v>
      </c>
      <c r="AC6">
        <v>124</v>
      </c>
      <c r="AD6">
        <v>5.4</v>
      </c>
      <c r="AE6">
        <v>2.9</v>
      </c>
      <c r="AF6">
        <v>3.5</v>
      </c>
      <c r="AG6" s="85">
        <v>9.2006999999999994</v>
      </c>
      <c r="AH6" s="85">
        <v>0.59499999999999997</v>
      </c>
    </row>
    <row r="7" spans="1:34" x14ac:dyDescent="0.25">
      <c r="A7" s="96" t="s">
        <v>154</v>
      </c>
      <c r="B7" s="97">
        <v>260</v>
      </c>
      <c r="C7" s="97">
        <v>21</v>
      </c>
      <c r="D7" s="97">
        <v>51</v>
      </c>
      <c r="E7" s="97">
        <v>45</v>
      </c>
      <c r="F7" s="97">
        <v>36</v>
      </c>
      <c r="G7" s="97">
        <v>0</v>
      </c>
      <c r="H7" s="97">
        <v>35</v>
      </c>
      <c r="I7" s="97">
        <v>89</v>
      </c>
      <c r="J7" s="97">
        <v>110</v>
      </c>
      <c r="K7" s="97">
        <v>26</v>
      </c>
      <c r="L7" s="97">
        <v>154</v>
      </c>
      <c r="M7" s="97">
        <v>31</v>
      </c>
      <c r="N7" s="97">
        <v>159</v>
      </c>
      <c r="O7" s="97">
        <v>10</v>
      </c>
      <c r="P7" s="97">
        <v>0</v>
      </c>
      <c r="Q7" s="97">
        <v>0</v>
      </c>
      <c r="R7" s="97">
        <v>0</v>
      </c>
      <c r="S7" s="97">
        <v>0</v>
      </c>
      <c r="T7" s="97">
        <v>0</v>
      </c>
      <c r="U7" s="97">
        <v>0</v>
      </c>
      <c r="V7" s="97">
        <v>0</v>
      </c>
      <c r="W7" s="97">
        <v>0</v>
      </c>
      <c r="X7" s="97">
        <v>0</v>
      </c>
      <c r="Y7" s="97">
        <v>0</v>
      </c>
      <c r="Z7" s="97">
        <v>0</v>
      </c>
      <c r="AA7" s="97">
        <v>0</v>
      </c>
      <c r="AB7" s="97">
        <v>0</v>
      </c>
      <c r="AC7" t="s">
        <v>114</v>
      </c>
      <c r="AD7" t="s">
        <v>114</v>
      </c>
      <c r="AE7">
        <v>22.5</v>
      </c>
      <c r="AF7">
        <v>4.5</v>
      </c>
      <c r="AG7" s="85">
        <v>18.181799999999999</v>
      </c>
      <c r="AH7" s="85">
        <v>0</v>
      </c>
    </row>
    <row r="8" spans="1:34" x14ac:dyDescent="0.25">
      <c r="A8" s="96" t="s">
        <v>311</v>
      </c>
      <c r="B8" s="97">
        <v>39</v>
      </c>
      <c r="C8" s="97">
        <v>4</v>
      </c>
      <c r="D8" s="97">
        <v>9</v>
      </c>
      <c r="E8" s="97">
        <v>8</v>
      </c>
      <c r="F8" s="97">
        <v>1</v>
      </c>
      <c r="G8" s="97">
        <v>0</v>
      </c>
      <c r="H8" s="97">
        <v>7</v>
      </c>
      <c r="I8" s="97">
        <v>15</v>
      </c>
      <c r="J8" s="97">
        <v>15</v>
      </c>
      <c r="K8" s="97">
        <v>2</v>
      </c>
      <c r="L8" s="97">
        <v>14</v>
      </c>
      <c r="M8" s="97">
        <v>7</v>
      </c>
      <c r="N8" s="97">
        <v>22</v>
      </c>
      <c r="O8" s="97">
        <v>10</v>
      </c>
      <c r="P8" s="97">
        <v>0</v>
      </c>
      <c r="Q8" s="97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97">
        <v>0</v>
      </c>
      <c r="Y8" s="97">
        <v>0</v>
      </c>
      <c r="Z8" s="97">
        <v>0</v>
      </c>
      <c r="AA8" s="97">
        <v>0</v>
      </c>
      <c r="AB8" s="97">
        <v>0</v>
      </c>
      <c r="AC8" t="s">
        <v>114</v>
      </c>
      <c r="AD8">
        <v>9</v>
      </c>
      <c r="AE8">
        <v>1.6</v>
      </c>
      <c r="AF8">
        <v>0.3</v>
      </c>
      <c r="AG8" s="85">
        <v>24.324300000000001</v>
      </c>
      <c r="AH8" s="85">
        <v>8.1081000000000003</v>
      </c>
    </row>
    <row r="9" spans="1:34" x14ac:dyDescent="0.25">
      <c r="A9" s="96" t="s">
        <v>189</v>
      </c>
      <c r="B9" s="97">
        <v>1003</v>
      </c>
      <c r="C9" s="97">
        <v>48</v>
      </c>
      <c r="D9" s="97">
        <v>174</v>
      </c>
      <c r="E9" s="97">
        <v>180</v>
      </c>
      <c r="F9" s="97">
        <v>116</v>
      </c>
      <c r="G9" s="97">
        <v>21</v>
      </c>
      <c r="H9" s="97">
        <v>115</v>
      </c>
      <c r="I9" s="97">
        <v>357</v>
      </c>
      <c r="J9" s="97">
        <v>414</v>
      </c>
      <c r="K9" s="97">
        <v>96</v>
      </c>
      <c r="L9" s="97">
        <v>527</v>
      </c>
      <c r="M9" s="97">
        <v>78</v>
      </c>
      <c r="N9" s="97">
        <v>557</v>
      </c>
      <c r="O9" s="97">
        <v>123</v>
      </c>
      <c r="P9" s="97">
        <v>12</v>
      </c>
      <c r="Q9" s="97">
        <v>35</v>
      </c>
      <c r="R9" s="97">
        <v>0</v>
      </c>
      <c r="S9" s="97">
        <v>0</v>
      </c>
      <c r="T9" s="97">
        <v>0</v>
      </c>
      <c r="U9" s="97">
        <v>0</v>
      </c>
      <c r="V9" s="97">
        <v>0</v>
      </c>
      <c r="W9" s="97">
        <v>0</v>
      </c>
      <c r="X9" s="97">
        <v>0</v>
      </c>
      <c r="Y9" s="97">
        <v>0</v>
      </c>
      <c r="Z9" s="97">
        <v>0</v>
      </c>
      <c r="AA9" s="97">
        <v>69</v>
      </c>
      <c r="AB9" s="97">
        <v>8</v>
      </c>
      <c r="AC9">
        <v>16</v>
      </c>
      <c r="AD9">
        <v>12.4</v>
      </c>
      <c r="AE9">
        <v>3</v>
      </c>
      <c r="AF9">
        <v>2.5</v>
      </c>
      <c r="AG9" s="85">
        <v>7.8475000000000001</v>
      </c>
      <c r="AH9" s="85">
        <v>1.4737</v>
      </c>
    </row>
    <row r="10" spans="1:34" x14ac:dyDescent="0.25">
      <c r="A10" s="96" t="s">
        <v>194</v>
      </c>
      <c r="B10" s="97">
        <v>825</v>
      </c>
      <c r="C10" s="97">
        <v>37</v>
      </c>
      <c r="D10" s="97">
        <v>185</v>
      </c>
      <c r="E10" s="97">
        <v>189</v>
      </c>
      <c r="F10" s="97">
        <v>120</v>
      </c>
      <c r="G10" s="97">
        <v>47</v>
      </c>
      <c r="H10" s="97">
        <v>120</v>
      </c>
      <c r="I10" s="97">
        <v>300</v>
      </c>
      <c r="J10" s="97">
        <v>276</v>
      </c>
      <c r="K10" s="97">
        <v>82</v>
      </c>
      <c r="L10" s="97">
        <v>580</v>
      </c>
      <c r="M10" s="97">
        <v>67</v>
      </c>
      <c r="N10" s="97">
        <v>599</v>
      </c>
      <c r="O10" s="97">
        <v>77</v>
      </c>
      <c r="P10" s="97">
        <v>0</v>
      </c>
      <c r="Q10" s="97">
        <v>66</v>
      </c>
      <c r="R10" s="97">
        <v>0</v>
      </c>
      <c r="S10" s="97">
        <v>36</v>
      </c>
      <c r="T10" s="97">
        <v>2</v>
      </c>
      <c r="U10" s="97">
        <v>0</v>
      </c>
      <c r="V10" s="97">
        <v>0</v>
      </c>
      <c r="W10" s="97">
        <v>0</v>
      </c>
      <c r="X10" s="97">
        <v>0</v>
      </c>
      <c r="Y10" s="97">
        <v>42</v>
      </c>
      <c r="Z10" s="97">
        <v>0</v>
      </c>
      <c r="AA10" s="97">
        <v>112</v>
      </c>
      <c r="AB10" s="97">
        <v>12</v>
      </c>
      <c r="AC10">
        <v>6.2</v>
      </c>
      <c r="AD10">
        <v>9.6999999999999993</v>
      </c>
      <c r="AE10">
        <v>5.7</v>
      </c>
      <c r="AF10">
        <v>6.3</v>
      </c>
      <c r="AG10" s="85">
        <v>5.4333999999999998</v>
      </c>
      <c r="AH10" s="85">
        <v>0.73799999999999999</v>
      </c>
    </row>
    <row r="11" spans="1:34" x14ac:dyDescent="0.25">
      <c r="A11" s="96" t="s">
        <v>143</v>
      </c>
      <c r="B11" s="97">
        <v>178</v>
      </c>
      <c r="C11" s="97">
        <v>2</v>
      </c>
      <c r="D11" s="97">
        <v>23</v>
      </c>
      <c r="E11" s="97">
        <v>14</v>
      </c>
      <c r="F11" s="97">
        <v>11</v>
      </c>
      <c r="G11" s="97">
        <v>0</v>
      </c>
      <c r="H11" s="97">
        <v>18</v>
      </c>
      <c r="I11" s="97">
        <v>69</v>
      </c>
      <c r="J11" s="97">
        <v>69</v>
      </c>
      <c r="K11" s="97">
        <v>22</v>
      </c>
      <c r="L11" s="97">
        <v>48</v>
      </c>
      <c r="M11" s="97">
        <v>27</v>
      </c>
      <c r="N11" s="97">
        <v>50</v>
      </c>
      <c r="O11" s="97">
        <v>34</v>
      </c>
      <c r="P11" s="97">
        <v>0</v>
      </c>
      <c r="Q11" s="97">
        <v>2</v>
      </c>
      <c r="R11" s="97">
        <v>0</v>
      </c>
      <c r="S11" s="97">
        <v>0</v>
      </c>
      <c r="T11" s="97">
        <v>0</v>
      </c>
      <c r="U11" s="97">
        <v>0</v>
      </c>
      <c r="V11" s="97">
        <v>0</v>
      </c>
      <c r="W11" s="97">
        <v>0</v>
      </c>
      <c r="X11" s="97">
        <v>0</v>
      </c>
      <c r="Y11" s="97">
        <v>0</v>
      </c>
      <c r="Z11" s="97">
        <v>0</v>
      </c>
      <c r="AA11" s="97">
        <v>4</v>
      </c>
      <c r="AB11" s="97">
        <v>0</v>
      </c>
      <c r="AC11" t="s">
        <v>114</v>
      </c>
      <c r="AD11">
        <v>5.8</v>
      </c>
      <c r="AE11">
        <v>1.2</v>
      </c>
      <c r="AF11">
        <v>0.6</v>
      </c>
      <c r="AG11" s="85">
        <v>16.564399999999999</v>
      </c>
      <c r="AH11" s="85">
        <v>9.8160000000000007</v>
      </c>
    </row>
    <row r="12" spans="1:34" x14ac:dyDescent="0.25">
      <c r="A12" s="96" t="s">
        <v>277</v>
      </c>
      <c r="B12" s="97">
        <v>2371</v>
      </c>
      <c r="C12" s="97">
        <v>90</v>
      </c>
      <c r="D12" s="97">
        <v>380</v>
      </c>
      <c r="E12" s="97">
        <v>420</v>
      </c>
      <c r="F12" s="97">
        <v>394</v>
      </c>
      <c r="G12" s="97">
        <v>32</v>
      </c>
      <c r="H12" s="97">
        <v>444</v>
      </c>
      <c r="I12" s="97">
        <v>1007</v>
      </c>
      <c r="J12" s="97">
        <v>730</v>
      </c>
      <c r="K12" s="97">
        <v>158</v>
      </c>
      <c r="L12" s="97">
        <v>1488</v>
      </c>
      <c r="M12" s="97">
        <v>135</v>
      </c>
      <c r="N12" s="97">
        <v>1415</v>
      </c>
      <c r="O12" s="97">
        <v>203</v>
      </c>
      <c r="P12" s="97">
        <v>0</v>
      </c>
      <c r="Q12" s="97">
        <v>8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97">
        <v>0</v>
      </c>
      <c r="X12" s="97">
        <v>0</v>
      </c>
      <c r="Y12" s="97">
        <v>25</v>
      </c>
      <c r="Z12" s="97">
        <v>0</v>
      </c>
      <c r="AA12" s="97">
        <v>16</v>
      </c>
      <c r="AB12" s="97">
        <v>0</v>
      </c>
      <c r="AC12">
        <v>45</v>
      </c>
      <c r="AD12">
        <v>6.1</v>
      </c>
      <c r="AE12">
        <v>4.2</v>
      </c>
      <c r="AF12">
        <v>10.1</v>
      </c>
      <c r="AG12" s="85">
        <v>5.7068000000000003</v>
      </c>
      <c r="AH12" s="85">
        <v>0.42480000000000001</v>
      </c>
    </row>
    <row r="13" spans="1:34" x14ac:dyDescent="0.25">
      <c r="A13" s="96" t="s">
        <v>167</v>
      </c>
      <c r="B13" s="97">
        <v>475</v>
      </c>
      <c r="C13" s="97">
        <v>20</v>
      </c>
      <c r="D13" s="97">
        <v>77</v>
      </c>
      <c r="E13" s="97">
        <v>63</v>
      </c>
      <c r="F13" s="97">
        <v>31</v>
      </c>
      <c r="G13" s="97">
        <v>13</v>
      </c>
      <c r="H13" s="97">
        <v>41</v>
      </c>
      <c r="I13" s="97">
        <v>194</v>
      </c>
      <c r="J13" s="97">
        <v>213</v>
      </c>
      <c r="K13" s="97">
        <v>14</v>
      </c>
      <c r="L13" s="97">
        <v>197</v>
      </c>
      <c r="M13" s="97">
        <v>58</v>
      </c>
      <c r="N13" s="97">
        <v>198</v>
      </c>
      <c r="O13" s="97">
        <v>54</v>
      </c>
      <c r="P13" s="97">
        <v>0</v>
      </c>
      <c r="Q13" s="97">
        <v>4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X13" s="97">
        <v>0</v>
      </c>
      <c r="Y13" s="97">
        <v>0</v>
      </c>
      <c r="Z13" s="97">
        <v>0</v>
      </c>
      <c r="AA13" s="97">
        <v>8</v>
      </c>
      <c r="AB13" s="97">
        <v>0</v>
      </c>
      <c r="AC13">
        <v>20</v>
      </c>
      <c r="AD13">
        <v>25.7</v>
      </c>
      <c r="AE13">
        <v>2.2999999999999998</v>
      </c>
      <c r="AF13">
        <v>1.3</v>
      </c>
      <c r="AG13" s="85">
        <v>10.1149</v>
      </c>
      <c r="AH13" s="85">
        <v>3.5242</v>
      </c>
    </row>
    <row r="14" spans="1:34" x14ac:dyDescent="0.25">
      <c r="A14" s="96" t="s">
        <v>377</v>
      </c>
      <c r="B14" s="97">
        <v>565</v>
      </c>
      <c r="C14" s="97">
        <v>27</v>
      </c>
      <c r="D14" s="97">
        <v>116</v>
      </c>
      <c r="E14" s="97">
        <v>151</v>
      </c>
      <c r="F14" s="97">
        <v>106</v>
      </c>
      <c r="G14" s="97">
        <v>4</v>
      </c>
      <c r="H14" s="97">
        <v>96</v>
      </c>
      <c r="I14" s="97">
        <v>246</v>
      </c>
      <c r="J14" s="97">
        <v>195</v>
      </c>
      <c r="K14" s="97">
        <v>24</v>
      </c>
      <c r="L14" s="97">
        <v>459</v>
      </c>
      <c r="M14" s="97">
        <v>44</v>
      </c>
      <c r="N14" s="97">
        <v>442</v>
      </c>
      <c r="O14" s="97">
        <v>105</v>
      </c>
      <c r="P14" s="97">
        <v>0</v>
      </c>
      <c r="Q14" s="97">
        <v>93</v>
      </c>
      <c r="R14" s="97">
        <v>0</v>
      </c>
      <c r="S14" s="97">
        <v>0</v>
      </c>
      <c r="T14" s="97">
        <v>0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71</v>
      </c>
      <c r="AA14" s="97">
        <v>173</v>
      </c>
      <c r="AB14" s="97">
        <v>8</v>
      </c>
      <c r="AC14">
        <v>27</v>
      </c>
      <c r="AD14">
        <v>5.3</v>
      </c>
      <c r="AE14">
        <v>3.5</v>
      </c>
      <c r="AF14">
        <v>2.7</v>
      </c>
      <c r="AG14" s="85">
        <v>8.8530999999999995</v>
      </c>
      <c r="AH14" s="85">
        <v>0.90249999999999997</v>
      </c>
    </row>
    <row r="15" spans="1:34" x14ac:dyDescent="0.25">
      <c r="A15" s="96" t="s">
        <v>108</v>
      </c>
      <c r="B15" s="97">
        <v>310</v>
      </c>
      <c r="C15" s="97">
        <v>14</v>
      </c>
      <c r="D15" s="97">
        <v>55</v>
      </c>
      <c r="E15" s="97">
        <v>61</v>
      </c>
      <c r="F15" s="97">
        <v>53</v>
      </c>
      <c r="G15" s="97">
        <v>1</v>
      </c>
      <c r="H15" s="97">
        <v>33</v>
      </c>
      <c r="I15" s="97">
        <v>127</v>
      </c>
      <c r="J15" s="97">
        <v>104</v>
      </c>
      <c r="K15" s="97">
        <v>45</v>
      </c>
      <c r="L15" s="97">
        <v>210</v>
      </c>
      <c r="M15" s="97">
        <v>31</v>
      </c>
      <c r="N15" s="97">
        <v>223</v>
      </c>
      <c r="O15" s="97">
        <v>26</v>
      </c>
      <c r="P15" s="97">
        <v>0</v>
      </c>
      <c r="Q15" s="97">
        <v>6</v>
      </c>
      <c r="R15" s="97">
        <v>0</v>
      </c>
      <c r="S15" s="97">
        <v>0</v>
      </c>
      <c r="T15" s="97">
        <v>0</v>
      </c>
      <c r="U15" s="97">
        <v>0</v>
      </c>
      <c r="V15" s="97">
        <v>0</v>
      </c>
      <c r="W15" s="97">
        <v>0</v>
      </c>
      <c r="X15" s="97">
        <v>0</v>
      </c>
      <c r="Y15" s="97">
        <v>8</v>
      </c>
      <c r="Z15" s="97">
        <v>0</v>
      </c>
      <c r="AA15" s="97">
        <v>17</v>
      </c>
      <c r="AB15" s="97">
        <v>0</v>
      </c>
      <c r="AC15">
        <v>14</v>
      </c>
      <c r="AD15">
        <v>13.8</v>
      </c>
      <c r="AE15">
        <v>4.7</v>
      </c>
      <c r="AF15">
        <v>6.6</v>
      </c>
      <c r="AG15" s="85">
        <v>7.0233999999999996</v>
      </c>
      <c r="AH15" s="85">
        <v>0.98680000000000001</v>
      </c>
    </row>
    <row r="16" spans="1:34" x14ac:dyDescent="0.25">
      <c r="A16" s="96" t="s">
        <v>284</v>
      </c>
      <c r="B16" s="97">
        <v>540</v>
      </c>
      <c r="C16" s="97">
        <v>16</v>
      </c>
      <c r="D16" s="97">
        <v>36</v>
      </c>
      <c r="E16" s="97">
        <v>53</v>
      </c>
      <c r="F16" s="97">
        <v>54</v>
      </c>
      <c r="G16" s="97">
        <v>6</v>
      </c>
      <c r="H16" s="97">
        <v>35</v>
      </c>
      <c r="I16" s="97">
        <v>168</v>
      </c>
      <c r="J16" s="97">
        <v>226</v>
      </c>
      <c r="K16" s="97">
        <v>105</v>
      </c>
      <c r="L16" s="97">
        <v>192</v>
      </c>
      <c r="M16" s="97">
        <v>27</v>
      </c>
      <c r="N16" s="97">
        <v>165</v>
      </c>
      <c r="O16" s="97">
        <v>24</v>
      </c>
      <c r="P16" s="97">
        <v>0</v>
      </c>
      <c r="Q16" s="97">
        <v>19</v>
      </c>
      <c r="R16" s="97">
        <v>0</v>
      </c>
      <c r="S16" s="97">
        <v>0</v>
      </c>
      <c r="T16" s="97">
        <v>0</v>
      </c>
      <c r="U16" s="97">
        <v>0</v>
      </c>
      <c r="V16" s="97">
        <v>0</v>
      </c>
      <c r="W16" s="97">
        <v>0</v>
      </c>
      <c r="X16" s="97">
        <v>0</v>
      </c>
      <c r="Y16" s="97">
        <v>13</v>
      </c>
      <c r="Z16" s="97">
        <v>0</v>
      </c>
      <c r="AA16" s="97">
        <v>31</v>
      </c>
      <c r="AB16" s="97">
        <v>0</v>
      </c>
      <c r="AC16">
        <v>16</v>
      </c>
      <c r="AD16">
        <v>36</v>
      </c>
      <c r="AE16">
        <v>7.6</v>
      </c>
      <c r="AF16">
        <v>3.6</v>
      </c>
      <c r="AG16" s="85">
        <v>4.2470999999999997</v>
      </c>
      <c r="AH16" s="85">
        <v>1.7375</v>
      </c>
    </row>
    <row r="17" spans="1:34" x14ac:dyDescent="0.25">
      <c r="A17" s="96" t="s">
        <v>198</v>
      </c>
      <c r="B17" s="97">
        <v>183</v>
      </c>
      <c r="C17" s="97">
        <v>6</v>
      </c>
      <c r="D17" s="97">
        <v>27</v>
      </c>
      <c r="E17" s="97">
        <v>50</v>
      </c>
      <c r="F17" s="97">
        <v>24</v>
      </c>
      <c r="G17" s="97">
        <v>1</v>
      </c>
      <c r="H17" s="97">
        <v>12</v>
      </c>
      <c r="I17" s="97">
        <v>75</v>
      </c>
      <c r="J17" s="97">
        <v>84</v>
      </c>
      <c r="K17" s="97">
        <v>11</v>
      </c>
      <c r="L17" s="97">
        <v>135</v>
      </c>
      <c r="M17" s="97">
        <v>17</v>
      </c>
      <c r="N17" s="97">
        <v>116</v>
      </c>
      <c r="O17" s="97">
        <v>18</v>
      </c>
      <c r="P17" s="97">
        <v>0</v>
      </c>
      <c r="Q17" s="97">
        <v>26</v>
      </c>
      <c r="R17" s="97">
        <v>0</v>
      </c>
      <c r="S17" s="97">
        <v>0</v>
      </c>
      <c r="T17" s="97">
        <v>0</v>
      </c>
      <c r="U17" s="97">
        <v>0</v>
      </c>
      <c r="V17" s="97">
        <v>0</v>
      </c>
      <c r="W17" s="97">
        <v>0</v>
      </c>
      <c r="X17" s="97">
        <v>0</v>
      </c>
      <c r="Y17" s="97">
        <v>9</v>
      </c>
      <c r="Z17" s="97">
        <v>0</v>
      </c>
      <c r="AA17" s="97">
        <v>41</v>
      </c>
      <c r="AB17" s="97">
        <v>0</v>
      </c>
      <c r="AC17" t="s">
        <v>114</v>
      </c>
      <c r="AD17" t="s">
        <v>114</v>
      </c>
      <c r="AE17">
        <v>5.6</v>
      </c>
      <c r="AF17">
        <v>2.7</v>
      </c>
      <c r="AG17" s="85">
        <v>12.3596</v>
      </c>
      <c r="AH17" s="85">
        <v>1.1235999999999999</v>
      </c>
    </row>
    <row r="18" spans="1:34" x14ac:dyDescent="0.25">
      <c r="A18" s="96" t="s">
        <v>178</v>
      </c>
      <c r="B18" s="97">
        <v>725</v>
      </c>
      <c r="C18" s="97">
        <v>37</v>
      </c>
      <c r="D18" s="97">
        <v>144</v>
      </c>
      <c r="E18" s="97">
        <v>173</v>
      </c>
      <c r="F18" s="97">
        <v>128</v>
      </c>
      <c r="G18" s="97">
        <v>3</v>
      </c>
      <c r="H18" s="97">
        <v>117</v>
      </c>
      <c r="I18" s="97">
        <v>264</v>
      </c>
      <c r="J18" s="97">
        <v>276</v>
      </c>
      <c r="K18" s="97">
        <v>65</v>
      </c>
      <c r="L18" s="97">
        <v>516</v>
      </c>
      <c r="M18" s="97">
        <v>97</v>
      </c>
      <c r="N18" s="97">
        <v>526</v>
      </c>
      <c r="O18" s="97">
        <v>43</v>
      </c>
      <c r="P18" s="97">
        <v>0</v>
      </c>
      <c r="Q18" s="97">
        <v>35</v>
      </c>
      <c r="R18" s="97">
        <v>0</v>
      </c>
      <c r="S18" s="97">
        <v>0</v>
      </c>
      <c r="T18" s="97">
        <v>0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7">
        <v>45</v>
      </c>
      <c r="AB18" s="97">
        <v>0</v>
      </c>
      <c r="AC18" t="s">
        <v>114</v>
      </c>
      <c r="AD18">
        <v>9.6</v>
      </c>
      <c r="AE18">
        <v>12.4</v>
      </c>
      <c r="AF18">
        <v>9.1</v>
      </c>
      <c r="AG18" s="85">
        <v>5.7225000000000001</v>
      </c>
      <c r="AH18" s="85">
        <v>0.98870000000000002</v>
      </c>
    </row>
    <row r="19" spans="1:34" x14ac:dyDescent="0.25">
      <c r="A19" s="96" t="s">
        <v>220</v>
      </c>
      <c r="B19" s="97">
        <v>39413</v>
      </c>
      <c r="C19" s="97">
        <v>496</v>
      </c>
      <c r="D19" s="97">
        <v>2346</v>
      </c>
      <c r="E19" s="97">
        <v>2250</v>
      </c>
      <c r="F19" s="97">
        <v>1819</v>
      </c>
      <c r="G19" s="97">
        <v>3774</v>
      </c>
      <c r="H19" s="97">
        <v>7944</v>
      </c>
      <c r="I19" s="97">
        <v>15446</v>
      </c>
      <c r="J19" s="97">
        <v>9632</v>
      </c>
      <c r="K19" s="97">
        <v>2617</v>
      </c>
      <c r="L19" s="97">
        <v>25033</v>
      </c>
      <c r="M19" s="97">
        <v>3535</v>
      </c>
      <c r="N19" s="97">
        <v>25801</v>
      </c>
      <c r="O19" s="97">
        <v>3118</v>
      </c>
      <c r="P19" s="97">
        <v>0</v>
      </c>
      <c r="Q19" s="97">
        <v>1047</v>
      </c>
      <c r="R19" s="97">
        <v>109</v>
      </c>
      <c r="S19" s="97">
        <v>335</v>
      </c>
      <c r="T19" s="97">
        <v>18</v>
      </c>
      <c r="U19" s="97">
        <v>30</v>
      </c>
      <c r="V19" s="97">
        <v>62</v>
      </c>
      <c r="W19" s="97">
        <v>174</v>
      </c>
      <c r="X19" s="97">
        <v>139</v>
      </c>
      <c r="Y19" s="97">
        <v>597</v>
      </c>
      <c r="Z19" s="97">
        <v>373</v>
      </c>
      <c r="AA19" s="97">
        <v>1926</v>
      </c>
      <c r="AB19" s="97">
        <v>171</v>
      </c>
      <c r="AC19">
        <v>17.8</v>
      </c>
      <c r="AD19">
        <v>9.8000000000000007</v>
      </c>
      <c r="AE19">
        <v>4.4000000000000004</v>
      </c>
      <c r="AF19">
        <v>8.6</v>
      </c>
      <c r="AG19" s="85">
        <v>6.2319000000000004</v>
      </c>
      <c r="AH19" s="85">
        <v>0.74199999999999999</v>
      </c>
    </row>
    <row r="20" spans="1:34" x14ac:dyDescent="0.25">
      <c r="A20" s="96" t="s">
        <v>230</v>
      </c>
      <c r="B20" s="97">
        <v>7741</v>
      </c>
      <c r="C20" s="97">
        <v>404</v>
      </c>
      <c r="D20" s="97">
        <v>1535</v>
      </c>
      <c r="E20" s="97">
        <v>1407</v>
      </c>
      <c r="F20" s="97">
        <v>903</v>
      </c>
      <c r="G20" s="97">
        <v>134</v>
      </c>
      <c r="H20" s="97">
        <v>1433</v>
      </c>
      <c r="I20" s="97">
        <v>3175</v>
      </c>
      <c r="J20" s="97">
        <v>2399</v>
      </c>
      <c r="K20" s="97">
        <v>600</v>
      </c>
      <c r="L20" s="97">
        <v>4842</v>
      </c>
      <c r="M20" s="97">
        <v>548</v>
      </c>
      <c r="N20" s="97">
        <v>4716</v>
      </c>
      <c r="O20" s="97">
        <v>409</v>
      </c>
      <c r="P20" s="97">
        <v>0</v>
      </c>
      <c r="Q20" s="97">
        <v>265</v>
      </c>
      <c r="R20" s="97">
        <v>0</v>
      </c>
      <c r="S20" s="97">
        <v>0</v>
      </c>
      <c r="T20" s="97">
        <v>0</v>
      </c>
      <c r="U20" s="97">
        <v>0</v>
      </c>
      <c r="V20" s="97">
        <v>0</v>
      </c>
      <c r="W20" s="97">
        <v>0</v>
      </c>
      <c r="X20" s="97">
        <v>0</v>
      </c>
      <c r="Y20" s="97">
        <v>40</v>
      </c>
      <c r="Z20" s="97">
        <v>0</v>
      </c>
      <c r="AA20" s="97">
        <v>487</v>
      </c>
      <c r="AB20" s="97">
        <v>30</v>
      </c>
      <c r="AC20">
        <v>36.700000000000003</v>
      </c>
      <c r="AD20">
        <v>14.8</v>
      </c>
      <c r="AE20">
        <v>7.9</v>
      </c>
      <c r="AF20">
        <v>7.7</v>
      </c>
      <c r="AG20" s="85">
        <v>6.1021999999999998</v>
      </c>
      <c r="AH20" s="85">
        <v>1.0469999999999999</v>
      </c>
    </row>
    <row r="21" spans="1:34" x14ac:dyDescent="0.25">
      <c r="A21" s="96" t="s">
        <v>1182</v>
      </c>
      <c r="B21" s="97">
        <v>67668</v>
      </c>
      <c r="C21" s="97">
        <v>1817</v>
      </c>
      <c r="D21" s="97">
        <v>7480</v>
      </c>
      <c r="E21" s="97">
        <v>6449</v>
      </c>
      <c r="F21" s="97">
        <v>4706</v>
      </c>
      <c r="G21" s="97">
        <v>4382</v>
      </c>
      <c r="H21" s="97">
        <v>12795</v>
      </c>
      <c r="I21" s="97">
        <v>27043</v>
      </c>
      <c r="J21" s="97">
        <v>18583</v>
      </c>
      <c r="K21" s="97">
        <v>4865</v>
      </c>
      <c r="L21" s="97">
        <v>42739</v>
      </c>
      <c r="M21" s="97">
        <v>5966</v>
      </c>
      <c r="N21" s="97">
        <v>43024</v>
      </c>
      <c r="O21" s="97">
        <v>5725</v>
      </c>
      <c r="P21" s="97">
        <v>32</v>
      </c>
      <c r="Q21" s="97">
        <v>2154</v>
      </c>
      <c r="R21" s="97">
        <v>109</v>
      </c>
      <c r="S21" s="97">
        <v>371</v>
      </c>
      <c r="T21" s="97">
        <v>20</v>
      </c>
      <c r="U21" s="97">
        <v>38</v>
      </c>
      <c r="V21" s="97">
        <v>62</v>
      </c>
      <c r="W21" s="97">
        <v>174</v>
      </c>
      <c r="X21" s="97">
        <v>216</v>
      </c>
      <c r="Y21" s="97">
        <v>1148</v>
      </c>
      <c r="Z21" s="97">
        <v>887</v>
      </c>
      <c r="AA21" s="97">
        <v>3908</v>
      </c>
      <c r="AB21" s="97">
        <v>412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Fiche_intercommunale_2021</vt:lpstr>
      <vt:lpstr>EPCI</vt:lpstr>
      <vt:lpstr>ADM</vt:lpstr>
      <vt:lpstr>URBA</vt:lpstr>
      <vt:lpstr>DEMO</vt:lpstr>
      <vt:lpstr>LOGEMENTS</vt:lpstr>
      <vt:lpstr>SRU</vt:lpstr>
      <vt:lpstr>PPU</vt:lpstr>
      <vt:lpstr>PPUe</vt:lpstr>
      <vt:lpstr>HLM</vt:lpstr>
      <vt:lpstr>HLMe</vt:lpstr>
      <vt:lpstr>PPR</vt:lpstr>
      <vt:lpstr>PPRe</vt:lpstr>
      <vt:lpstr>Fiche_intercommunale_2021!Zone_d_impression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2022-06-21T07:53:25Z</dcterms:modified>
</cp:coreProperties>
</file>