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Fiche_EPCI" sheetId="17" r:id="rId1"/>
    <sheet name="Fiche_EPCI_Resume" sheetId="18" r:id="rId2"/>
    <sheet name="Grp_Revenu" sheetId="14" state="hidden" r:id="rId3"/>
    <sheet name="Type_reservat" sheetId="16" state="hidden" r:id="rId4"/>
    <sheet name="Logt_actuel" sheetId="10" state="hidden" r:id="rId5"/>
    <sheet name="Typologie" sheetId="15" state="hidden" r:id="rId6"/>
    <sheet name="Revenu_UC" sheetId="13" state="hidden" r:id="rId7"/>
    <sheet name="RevenuMens_menage" sheetId="8" state="hidden" r:id="rId8"/>
    <sheet name="PosPlaf_HLM" sheetId="9" state="hidden" r:id="rId9"/>
    <sheet name="Statut_prof" sheetId="6" state="hidden" r:id="rId10"/>
    <sheet name="Compo_famille" sheetId="5" state="hidden" r:id="rId11"/>
    <sheet name="Age_demandeur" sheetId="2" state="hidden" r:id="rId12"/>
    <sheet name="Taille_menage" sheetId="4" state="hidden" r:id="rId13"/>
    <sheet name="Ancienneté" sheetId="1" state="hidden" r:id="rId14"/>
    <sheet name="Situ_familiale" sheetId="7" state="hidden" r:id="rId15"/>
    <sheet name="Motif_demande" sheetId="11" state="hidden" r:id="rId16"/>
    <sheet name="Natio_demandeur" sheetId="3" state="hidden" r:id="rId17"/>
    <sheet name="ABC_123" sheetId="12" state="hidden" r:id="rId18"/>
  </sheets>
  <externalReferences>
    <externalReference r:id="rId19"/>
  </externalReferences>
  <definedNames>
    <definedName name="_xlnm._FilterDatabase" localSheetId="5" hidden="1">Typologie!$A$1:$L$18</definedName>
    <definedName name="Dmotif_Assistante_maternelle">[1]baseDcom!$CD$2:$CD$344</definedName>
    <definedName name="N5libcomDem">[1]baseDcom!$A$2:$A$344</definedName>
  </definedNames>
  <calcPr calcId="145621"/>
</workbook>
</file>

<file path=xl/calcChain.xml><?xml version="1.0" encoding="utf-8"?>
<calcChain xmlns="http://schemas.openxmlformats.org/spreadsheetml/2006/main">
  <c r="B38" i="18" l="1"/>
  <c r="N26" i="18"/>
  <c r="F20" i="18"/>
  <c r="N12" i="18"/>
  <c r="F7" i="18"/>
  <c r="A1" i="18"/>
  <c r="F32" i="18"/>
  <c r="R53" i="17" l="1"/>
  <c r="F47" i="18" s="1"/>
  <c r="R52" i="17"/>
  <c r="F46" i="18" s="1"/>
  <c r="R51" i="17"/>
  <c r="F45" i="18" s="1"/>
  <c r="R50" i="17"/>
  <c r="F44" i="18" s="1"/>
  <c r="R49" i="17"/>
  <c r="F43" i="18" s="1"/>
  <c r="R48" i="17"/>
  <c r="F42" i="18" s="1"/>
  <c r="R47" i="17"/>
  <c r="F41" i="18" s="1"/>
  <c r="R46" i="17"/>
  <c r="F40" i="18" s="1"/>
  <c r="R45" i="17"/>
  <c r="F39" i="18" s="1"/>
  <c r="R40" i="17"/>
  <c r="J47" i="18" s="1"/>
  <c r="R39" i="17"/>
  <c r="J46" i="18" s="1"/>
  <c r="R38" i="17"/>
  <c r="J45" i="18" s="1"/>
  <c r="R37" i="17"/>
  <c r="J44" i="18" s="1"/>
  <c r="R36" i="17"/>
  <c r="J43" i="18" s="1"/>
  <c r="R35" i="17"/>
  <c r="J42" i="18" s="1"/>
  <c r="R34" i="17"/>
  <c r="J41" i="18" s="1"/>
  <c r="R33" i="17"/>
  <c r="J40" i="18" s="1"/>
  <c r="N41" i="17"/>
  <c r="N39" i="17"/>
  <c r="N38" i="17"/>
  <c r="N37" i="17"/>
  <c r="N36" i="17"/>
  <c r="N35" i="17"/>
  <c r="N34" i="17"/>
  <c r="N33" i="17"/>
  <c r="N32" i="17"/>
  <c r="N31" i="17"/>
  <c r="N30" i="17"/>
  <c r="N10" i="18" s="1"/>
  <c r="N29" i="17"/>
  <c r="N9" i="18" s="1"/>
  <c r="N28" i="17"/>
  <c r="N8" i="18" s="1"/>
  <c r="N27" i="17"/>
  <c r="N26" i="17"/>
  <c r="N25" i="17"/>
  <c r="N24" i="17"/>
  <c r="N23" i="17"/>
  <c r="N5" i="18" s="1"/>
  <c r="J40" i="17"/>
  <c r="N19" i="18" s="1"/>
  <c r="R28" i="17"/>
  <c r="R27" i="17"/>
  <c r="R26" i="17"/>
  <c r="N38" i="18" s="1"/>
  <c r="R25" i="17"/>
  <c r="N37" i="18" s="1"/>
  <c r="R24" i="17"/>
  <c r="N36" i="18" s="1"/>
  <c r="R23" i="17"/>
  <c r="N35" i="18" s="1"/>
  <c r="J33" i="17"/>
  <c r="J24" i="18" s="1"/>
  <c r="J35" i="17"/>
  <c r="J26" i="18" s="1"/>
  <c r="J32" i="17"/>
  <c r="J31" i="17"/>
  <c r="J30" i="17"/>
  <c r="J29" i="17"/>
  <c r="J28" i="17"/>
  <c r="J27" i="17"/>
  <c r="J26" i="17"/>
  <c r="J25" i="17"/>
  <c r="J22" i="18" s="1"/>
  <c r="J24" i="17"/>
  <c r="J21" i="18" s="1"/>
  <c r="J23" i="17"/>
  <c r="J20" i="18" s="1"/>
  <c r="J22" i="17"/>
  <c r="J21" i="17"/>
  <c r="F35" i="17"/>
  <c r="J12" i="18" s="1"/>
  <c r="F31" i="17"/>
  <c r="F32" i="17"/>
  <c r="F33" i="17"/>
  <c r="J10" i="18" s="1"/>
  <c r="F29" i="17"/>
  <c r="F30" i="17"/>
  <c r="F28" i="17"/>
  <c r="F27" i="17"/>
  <c r="F26" i="17"/>
  <c r="F25" i="17"/>
  <c r="J8" i="18" s="1"/>
  <c r="F24" i="17"/>
  <c r="J7" i="18" s="1"/>
  <c r="F23" i="17"/>
  <c r="J6" i="18" s="1"/>
  <c r="F22" i="17"/>
  <c r="F21" i="17"/>
  <c r="N52" i="17"/>
  <c r="J36" i="18" s="1"/>
  <c r="N51" i="17"/>
  <c r="J35" i="18" s="1"/>
  <c r="N50" i="17"/>
  <c r="J34" i="18" s="1"/>
  <c r="N49" i="17"/>
  <c r="J33" i="18" s="1"/>
  <c r="N48" i="17"/>
  <c r="J32" i="18" s="1"/>
  <c r="J11" i="17"/>
  <c r="B34" i="18" s="1"/>
  <c r="J14" i="17"/>
  <c r="B37" i="18" s="1"/>
  <c r="J13" i="17"/>
  <c r="B36" i="18" s="1"/>
  <c r="J12" i="17"/>
  <c r="B35" i="18" s="1"/>
  <c r="J10" i="17"/>
  <c r="B33" i="18" s="1"/>
  <c r="J9" i="17"/>
  <c r="B39" i="18" s="1"/>
  <c r="J8" i="17"/>
  <c r="B32" i="18" s="1"/>
  <c r="J7" i="17"/>
  <c r="B31" i="18" s="1"/>
  <c r="T10" i="17"/>
  <c r="S10" i="17"/>
  <c r="R10" i="17"/>
  <c r="Q10" i="17"/>
  <c r="P10" i="17"/>
  <c r="O10" i="17"/>
  <c r="N10" i="17"/>
  <c r="T9" i="17"/>
  <c r="S9" i="17"/>
  <c r="S13" i="17" s="1"/>
  <c r="R9" i="17"/>
  <c r="Q9" i="17"/>
  <c r="P9" i="17"/>
  <c r="P13" i="17" s="1"/>
  <c r="F16" i="18" s="1"/>
  <c r="O9" i="17"/>
  <c r="N9" i="17"/>
  <c r="J55" i="17"/>
  <c r="N28" i="18" s="1"/>
  <c r="J52" i="17"/>
  <c r="J51" i="17"/>
  <c r="J50" i="17"/>
  <c r="J49" i="17"/>
  <c r="J48" i="17"/>
  <c r="J47" i="17"/>
  <c r="J46" i="17"/>
  <c r="J45" i="17"/>
  <c r="N22" i="18" s="1"/>
  <c r="J44" i="17"/>
  <c r="J43" i="17"/>
  <c r="J42" i="17"/>
  <c r="J41" i="17"/>
  <c r="F49" i="17"/>
  <c r="F34" i="18" s="1"/>
  <c r="F40" i="17"/>
  <c r="F27" i="18" s="1"/>
  <c r="F47" i="17"/>
  <c r="F46" i="17"/>
  <c r="F45" i="17"/>
  <c r="F44" i="17"/>
  <c r="F43" i="17"/>
  <c r="F30" i="18" s="1"/>
  <c r="F42" i="17"/>
  <c r="F29" i="18" s="1"/>
  <c r="F41" i="17"/>
  <c r="F28" i="18" s="1"/>
  <c r="B47" i="17"/>
  <c r="B24" i="18" s="1"/>
  <c r="B39" i="17"/>
  <c r="B20" i="18" s="1"/>
  <c r="B45" i="17"/>
  <c r="B44" i="17"/>
  <c r="B43" i="17"/>
  <c r="B42" i="17"/>
  <c r="B41" i="17"/>
  <c r="B40" i="17"/>
  <c r="B21" i="18" s="1"/>
  <c r="F14" i="17"/>
  <c r="F13" i="17"/>
  <c r="F12" i="17"/>
  <c r="F11" i="17"/>
  <c r="F10" i="17"/>
  <c r="F9" i="17"/>
  <c r="F8" i="17"/>
  <c r="F7" i="17"/>
  <c r="A2" i="17"/>
  <c r="M2" i="17" s="1"/>
  <c r="B33" i="17"/>
  <c r="B14" i="18" s="1"/>
  <c r="B14" i="17"/>
  <c r="B22" i="17"/>
  <c r="B30" i="17"/>
  <c r="B31" i="17"/>
  <c r="B29" i="17"/>
  <c r="B12" i="18" s="1"/>
  <c r="B24" i="17"/>
  <c r="B23" i="17"/>
  <c r="B11" i="18" s="1"/>
  <c r="B20" i="17"/>
  <c r="B27" i="17"/>
  <c r="B26" i="17"/>
  <c r="B25" i="17"/>
  <c r="B21" i="17"/>
  <c r="B28" i="17"/>
  <c r="B19" i="17"/>
  <c r="B18" i="17"/>
  <c r="B17" i="17"/>
  <c r="B16" i="17"/>
  <c r="B13" i="17"/>
  <c r="B12" i="17"/>
  <c r="B11" i="17"/>
  <c r="B10" i="17"/>
  <c r="B9" i="17"/>
  <c r="B8" i="17"/>
  <c r="B32" i="17"/>
  <c r="B13" i="18" s="1"/>
  <c r="B7" i="17"/>
  <c r="B5" i="18" s="1"/>
  <c r="M3" i="17"/>
  <c r="K2" i="17"/>
  <c r="J2" i="17"/>
  <c r="E2" i="17"/>
  <c r="D2" i="17"/>
  <c r="C2" i="17"/>
  <c r="B2" i="17"/>
  <c r="I2" i="17"/>
  <c r="F2" i="17"/>
  <c r="G2" i="17"/>
  <c r="H2" i="17"/>
  <c r="N13" i="17"/>
  <c r="F14" i="18" s="1"/>
  <c r="R13" i="17"/>
  <c r="F18" i="18" s="1"/>
  <c r="R42" i="17"/>
  <c r="S38" i="17" s="1"/>
  <c r="B48" i="17"/>
  <c r="C45" i="17" s="1"/>
  <c r="J56" i="17"/>
  <c r="K42" i="17" s="1"/>
  <c r="J17" i="17"/>
  <c r="K9" i="17" s="1"/>
  <c r="O13" i="17"/>
  <c r="F15" i="18" s="1"/>
  <c r="U10" i="17"/>
  <c r="F6" i="18" s="1"/>
  <c r="Q13" i="17"/>
  <c r="F17" i="18" s="1"/>
  <c r="N54" i="17"/>
  <c r="O52" i="17" s="1"/>
  <c r="U9" i="17"/>
  <c r="F5" i="18" s="1"/>
  <c r="R30" i="17"/>
  <c r="S24" i="17" s="1"/>
  <c r="J36" i="17"/>
  <c r="K31" i="17" s="1"/>
  <c r="F36" i="17"/>
  <c r="G22" i="17" s="1"/>
  <c r="K40" i="17"/>
  <c r="K53" i="17"/>
  <c r="O49" i="17"/>
  <c r="O50" i="17"/>
  <c r="N44" i="17"/>
  <c r="O42" i="17" s="1"/>
  <c r="K25" i="17"/>
  <c r="K26" i="17" l="1"/>
  <c r="K51" i="17"/>
  <c r="K46" i="17"/>
  <c r="K23" i="17"/>
  <c r="K44" i="17"/>
  <c r="K28" i="17"/>
  <c r="K30" i="17"/>
  <c r="K43" i="17"/>
  <c r="K52" i="17"/>
  <c r="O35" i="17"/>
  <c r="K41" i="17"/>
  <c r="O32" i="17"/>
  <c r="K45" i="17"/>
  <c r="B6" i="18"/>
  <c r="F16" i="17"/>
  <c r="G7" i="17" s="1"/>
  <c r="K47" i="17"/>
  <c r="G30" i="17"/>
  <c r="K8" i="17"/>
  <c r="K49" i="17"/>
  <c r="C41" i="17"/>
  <c r="T13" i="17"/>
  <c r="F19" i="18" s="1"/>
  <c r="F22" i="18" s="1"/>
  <c r="N11" i="18"/>
  <c r="J49" i="18"/>
  <c r="K40" i="18" s="1"/>
  <c r="F49" i="18"/>
  <c r="O29" i="17"/>
  <c r="G21" i="17"/>
  <c r="K21" i="17"/>
  <c r="K27" i="17"/>
  <c r="K12" i="17"/>
  <c r="K48" i="17"/>
  <c r="K11" i="17"/>
  <c r="S23" i="17"/>
  <c r="F50" i="17"/>
  <c r="J19" i="18"/>
  <c r="N7" i="18"/>
  <c r="C39" i="17"/>
  <c r="G33" i="17"/>
  <c r="G29" i="17"/>
  <c r="N20" i="18"/>
  <c r="N24" i="18"/>
  <c r="K32" i="17"/>
  <c r="G25" i="17"/>
  <c r="K33" i="17"/>
  <c r="K14" i="17"/>
  <c r="K22" i="17"/>
  <c r="O25" i="17"/>
  <c r="C44" i="17"/>
  <c r="C40" i="17"/>
  <c r="C42" i="17"/>
  <c r="G31" i="17"/>
  <c r="K29" i="17"/>
  <c r="S26" i="17"/>
  <c r="K7" i="17"/>
  <c r="K10" i="17"/>
  <c r="S37" i="17"/>
  <c r="B35" i="17"/>
  <c r="C18" i="17" s="1"/>
  <c r="O31" i="17"/>
  <c r="G26" i="17"/>
  <c r="K24" i="17"/>
  <c r="S28" i="17"/>
  <c r="K50" i="17"/>
  <c r="S33" i="17"/>
  <c r="B9" i="18"/>
  <c r="B10" i="18"/>
  <c r="G28" i="17"/>
  <c r="G23" i="17"/>
  <c r="G32" i="17"/>
  <c r="C43" i="17"/>
  <c r="G44" i="18"/>
  <c r="G41" i="18"/>
  <c r="G45" i="18"/>
  <c r="G46" i="18"/>
  <c r="G47" i="18"/>
  <c r="K35" i="18"/>
  <c r="G40" i="18"/>
  <c r="G43" i="18"/>
  <c r="C24" i="17"/>
  <c r="C12" i="17"/>
  <c r="C7" i="17"/>
  <c r="O37" i="17"/>
  <c r="O23" i="17"/>
  <c r="C11" i="17"/>
  <c r="S40" i="17"/>
  <c r="O27" i="17"/>
  <c r="O41" i="17"/>
  <c r="S25" i="17"/>
  <c r="C33" i="17"/>
  <c r="O48" i="17"/>
  <c r="O54" i="17" s="1"/>
  <c r="C27" i="17"/>
  <c r="S36" i="17"/>
  <c r="O34" i="17"/>
  <c r="O36" i="17"/>
  <c r="G24" i="17"/>
  <c r="G27" i="17"/>
  <c r="S27" i="17"/>
  <c r="O51" i="17"/>
  <c r="C9" i="17"/>
  <c r="C19" i="17"/>
  <c r="S35" i="17"/>
  <c r="C13" i="17"/>
  <c r="J5" i="18"/>
  <c r="N39" i="18"/>
  <c r="N41" i="18" s="1"/>
  <c r="B7" i="18"/>
  <c r="F31" i="18"/>
  <c r="F36" i="18" s="1"/>
  <c r="N21" i="18"/>
  <c r="N25" i="18"/>
  <c r="B41" i="18"/>
  <c r="C38" i="18" s="1"/>
  <c r="J37" i="18"/>
  <c r="K34" i="18" s="1"/>
  <c r="J23" i="18"/>
  <c r="O38" i="17"/>
  <c r="O39" i="17"/>
  <c r="O30" i="17"/>
  <c r="C25" i="17"/>
  <c r="C8" i="17"/>
  <c r="S34" i="17"/>
  <c r="O26" i="17"/>
  <c r="O33" i="17"/>
  <c r="O24" i="17"/>
  <c r="C14" i="17"/>
  <c r="C32" i="17"/>
  <c r="C23" i="17"/>
  <c r="C16" i="17"/>
  <c r="K13" i="17"/>
  <c r="C21" i="17"/>
  <c r="S39" i="17"/>
  <c r="O28" i="17"/>
  <c r="O40" i="17"/>
  <c r="C29" i="17"/>
  <c r="C15" i="17"/>
  <c r="C10" i="17"/>
  <c r="C20" i="17"/>
  <c r="C17" i="17"/>
  <c r="F9" i="18"/>
  <c r="G7" i="18" s="1"/>
  <c r="N23" i="18"/>
  <c r="J9" i="18"/>
  <c r="N6" i="18"/>
  <c r="B8" i="18"/>
  <c r="B22" i="18"/>
  <c r="B26" i="18" s="1"/>
  <c r="K41" i="18"/>
  <c r="G39" i="18"/>
  <c r="G42" i="18"/>
  <c r="S46" i="17"/>
  <c r="S47" i="17"/>
  <c r="S48" i="17"/>
  <c r="S49" i="17"/>
  <c r="U13" i="17"/>
  <c r="N19" i="17" s="1"/>
  <c r="S50" i="17"/>
  <c r="S51" i="17"/>
  <c r="K15" i="17"/>
  <c r="S52" i="17"/>
  <c r="S45" i="17"/>
  <c r="S53" i="17"/>
  <c r="G41" i="17"/>
  <c r="R55" i="17"/>
  <c r="K56" i="17" l="1"/>
  <c r="J28" i="18"/>
  <c r="K19" i="18" s="1"/>
  <c r="G8" i="17"/>
  <c r="N30" i="18"/>
  <c r="O26" i="18" s="1"/>
  <c r="S55" i="17"/>
  <c r="G12" i="17"/>
  <c r="K33" i="18"/>
  <c r="K32" i="18"/>
  <c r="C30" i="17"/>
  <c r="C26" i="17"/>
  <c r="C32" i="18"/>
  <c r="K47" i="18"/>
  <c r="K45" i="18"/>
  <c r="K43" i="18"/>
  <c r="K46" i="18"/>
  <c r="G10" i="17"/>
  <c r="C34" i="18"/>
  <c r="G13" i="17"/>
  <c r="C48" i="17"/>
  <c r="K36" i="17"/>
  <c r="N14" i="18"/>
  <c r="O12" i="18" s="1"/>
  <c r="G14" i="17"/>
  <c r="G36" i="17"/>
  <c r="K42" i="18"/>
  <c r="C39" i="18"/>
  <c r="G11" i="17"/>
  <c r="G9" i="17"/>
  <c r="K44" i="18"/>
  <c r="C31" i="18"/>
  <c r="C37" i="18"/>
  <c r="C33" i="18"/>
  <c r="S30" i="17"/>
  <c r="O7" i="18"/>
  <c r="K24" i="18"/>
  <c r="O19" i="17"/>
  <c r="P17" i="17"/>
  <c r="Q19" i="17"/>
  <c r="P19" i="17"/>
  <c r="K17" i="17"/>
  <c r="G45" i="17"/>
  <c r="G42" i="17"/>
  <c r="G46" i="17"/>
  <c r="G43" i="17"/>
  <c r="G47" i="17"/>
  <c r="Q17" i="17"/>
  <c r="G6" i="18"/>
  <c r="G40" i="17"/>
  <c r="C36" i="18"/>
  <c r="C28" i="17"/>
  <c r="C22" i="17"/>
  <c r="C31" i="17"/>
  <c r="R16" i="17"/>
  <c r="S42" i="17"/>
  <c r="P16" i="17"/>
  <c r="G44" i="17"/>
  <c r="C35" i="18"/>
  <c r="O44" i="17"/>
  <c r="O36" i="18"/>
  <c r="O35" i="18"/>
  <c r="O39" i="18"/>
  <c r="O38" i="18"/>
  <c r="O37" i="18"/>
  <c r="G20" i="18"/>
  <c r="G16" i="18"/>
  <c r="G18" i="18"/>
  <c r="G15" i="18"/>
  <c r="G17" i="18"/>
  <c r="G14" i="18"/>
  <c r="C26" i="18"/>
  <c r="C20" i="18"/>
  <c r="C21" i="18"/>
  <c r="G31" i="18"/>
  <c r="G32" i="18"/>
  <c r="G28" i="18"/>
  <c r="O16" i="17"/>
  <c r="N16" i="17"/>
  <c r="U17" i="17"/>
  <c r="K49" i="18"/>
  <c r="G30" i="18"/>
  <c r="O22" i="18"/>
  <c r="U19" i="17"/>
  <c r="Q16" i="17"/>
  <c r="G5" i="18"/>
  <c r="O23" i="18"/>
  <c r="O19" i="18"/>
  <c r="O20" i="18"/>
  <c r="G29" i="18"/>
  <c r="G27" i="18"/>
  <c r="U16" i="17"/>
  <c r="T16" i="17"/>
  <c r="S19" i="17"/>
  <c r="O10" i="18"/>
  <c r="O8" i="18"/>
  <c r="C22" i="18"/>
  <c r="B16" i="18"/>
  <c r="C7" i="18" s="1"/>
  <c r="K36" i="18"/>
  <c r="K37" i="18" s="1"/>
  <c r="J14" i="18"/>
  <c r="K5" i="18" s="1"/>
  <c r="G19" i="18"/>
  <c r="O24" i="18"/>
  <c r="O25" i="18"/>
  <c r="O21" i="18"/>
  <c r="G49" i="18"/>
  <c r="T19" i="17"/>
  <c r="T17" i="17"/>
  <c r="O17" i="17"/>
  <c r="S16" i="17"/>
  <c r="N17" i="17"/>
  <c r="R17" i="17"/>
  <c r="R19" i="17"/>
  <c r="S17" i="17"/>
  <c r="G16" i="17" l="1"/>
  <c r="K21" i="18"/>
  <c r="K28" i="18" s="1"/>
  <c r="K20" i="18"/>
  <c r="K23" i="18"/>
  <c r="K22" i="18"/>
  <c r="C41" i="18"/>
  <c r="O9" i="18"/>
  <c r="O6" i="18"/>
  <c r="C35" i="17"/>
  <c r="O5" i="18"/>
  <c r="G22" i="18"/>
  <c r="O11" i="18"/>
  <c r="G36" i="18"/>
  <c r="G50" i="17"/>
  <c r="G9" i="18"/>
  <c r="O41" i="18"/>
  <c r="C8" i="18"/>
  <c r="O30" i="18"/>
  <c r="C16" i="18"/>
  <c r="C5" i="18"/>
  <c r="C14" i="18"/>
  <c r="C6" i="18"/>
  <c r="C9" i="18"/>
  <c r="C11" i="18"/>
  <c r="C12" i="18"/>
  <c r="C10" i="18"/>
  <c r="C13" i="18"/>
  <c r="K6" i="18"/>
  <c r="K7" i="18"/>
  <c r="K8" i="18"/>
  <c r="K9" i="18"/>
  <c r="K10" i="18"/>
  <c r="O14" i="18" l="1"/>
  <c r="K14" i="18"/>
</calcChain>
</file>

<file path=xl/sharedStrings.xml><?xml version="1.0" encoding="utf-8"?>
<sst xmlns="http://schemas.openxmlformats.org/spreadsheetml/2006/main" count="1037" uniqueCount="305">
  <si>
    <t>Code commune</t>
  </si>
  <si>
    <t>Commune</t>
  </si>
  <si>
    <t>Total attributions</t>
  </si>
  <si>
    <t>Anc. moy. (mois)</t>
  </si>
  <si>
    <t xml:space="preserve">&lt; 1 an </t>
  </si>
  <si>
    <t>1 à &lt;  2 ans</t>
  </si>
  <si>
    <t xml:space="preserve">2 à &lt; 3 ans </t>
  </si>
  <si>
    <t xml:space="preserve">3 à &lt; 4 ans </t>
  </si>
  <si>
    <t xml:space="preserve">4 à &lt; 5 ans </t>
  </si>
  <si>
    <t>5 à &lt; 10 ans</t>
  </si>
  <si>
    <t>10 ans ou +</t>
  </si>
  <si>
    <t>Incohérent</t>
  </si>
  <si>
    <t>Age moyen</t>
  </si>
  <si>
    <t>- de 20 ans</t>
  </si>
  <si>
    <t xml:space="preserve">20 - 24 ans </t>
  </si>
  <si>
    <t xml:space="preserve">25 - 29 ans </t>
  </si>
  <si>
    <t>30 - 34 ans</t>
  </si>
  <si>
    <t xml:space="preserve">35 - 39 ans </t>
  </si>
  <si>
    <t>40 - 44 ans</t>
  </si>
  <si>
    <t xml:space="preserve">45 - 49 ans </t>
  </si>
  <si>
    <t xml:space="preserve">50 - 54 ans </t>
  </si>
  <si>
    <t xml:space="preserve">55 - 59 ans </t>
  </si>
  <si>
    <t xml:space="preserve">60 - 64 ans </t>
  </si>
  <si>
    <t xml:space="preserve">65 - 69 ans </t>
  </si>
  <si>
    <t xml:space="preserve">70 - 74 ans </t>
  </si>
  <si>
    <t>75 ans et +</t>
  </si>
  <si>
    <t>Non Saisie</t>
  </si>
  <si>
    <t>Sans objet</t>
  </si>
  <si>
    <t>Française</t>
  </si>
  <si>
    <t>Hors Union Européenne</t>
  </si>
  <si>
    <t>Union Européenne</t>
  </si>
  <si>
    <t>Non Renseigné</t>
  </si>
  <si>
    <t>Taille moyenne</t>
  </si>
  <si>
    <t>1 pers</t>
  </si>
  <si>
    <t>2 pers</t>
  </si>
  <si>
    <t>3 pers</t>
  </si>
  <si>
    <t>4 pers</t>
  </si>
  <si>
    <t>5 pers</t>
  </si>
  <si>
    <t>6 pers</t>
  </si>
  <si>
    <t>7 pers</t>
  </si>
  <si>
    <t>&gt;= 8 pers</t>
  </si>
  <si>
    <t>2 codem ou +</t>
  </si>
  <si>
    <t>2 codem ou + et 1 pàc</t>
  </si>
  <si>
    <t>2 codem ou + et 2 pàc</t>
  </si>
  <si>
    <t>2 codem ou + et 3 pàc</t>
  </si>
  <si>
    <t>2 codem ou + et 4 pàc</t>
  </si>
  <si>
    <t>2 codem ou + et 5 pàc</t>
  </si>
  <si>
    <t>2 codem ou + et 6 pàc ou +</t>
  </si>
  <si>
    <t>Isolé</t>
  </si>
  <si>
    <t>Isolé 1 pàc</t>
  </si>
  <si>
    <t>Isolé 2 pàc</t>
  </si>
  <si>
    <t>Isolé 3 pàc</t>
  </si>
  <si>
    <t>Isolé 4 pàc</t>
  </si>
  <si>
    <t>Isolé 5 pàc</t>
  </si>
  <si>
    <t>Isolé 6 pàc ou +</t>
  </si>
  <si>
    <t>Non saisie</t>
  </si>
  <si>
    <t>Agent de l'État</t>
  </si>
  <si>
    <t>Agents publics</t>
  </si>
  <si>
    <t>Apprenti</t>
  </si>
  <si>
    <t>Artisan, profession libérale</t>
  </si>
  <si>
    <t>Assistant familial ou maternel</t>
  </si>
  <si>
    <t>Autre</t>
  </si>
  <si>
    <t>Autres situations</t>
  </si>
  <si>
    <t>CDD, stage, intérim</t>
  </si>
  <si>
    <t>CDI</t>
  </si>
  <si>
    <t>CDI (ou fonctionnaire)</t>
  </si>
  <si>
    <t>Chômage</t>
  </si>
  <si>
    <t>Étudiant</t>
  </si>
  <si>
    <t>Étudiant ou apprenti</t>
  </si>
  <si>
    <t>Retraité</t>
  </si>
  <si>
    <t>Salarié du privé</t>
  </si>
  <si>
    <t>Célibataire</t>
  </si>
  <si>
    <t>Concubin (e)</t>
  </si>
  <si>
    <t>Divorcé (e)</t>
  </si>
  <si>
    <t>Marié (e)</t>
  </si>
  <si>
    <t>Pacsé (e)</t>
  </si>
  <si>
    <t>Séparé (e)</t>
  </si>
  <si>
    <t>Veuf (ve)</t>
  </si>
  <si>
    <t>Revenu moyen</t>
  </si>
  <si>
    <t>0€</t>
  </si>
  <si>
    <t>1 - 499€</t>
  </si>
  <si>
    <t>500 - 999€</t>
  </si>
  <si>
    <t>1 000 - 1 499€</t>
  </si>
  <si>
    <t>1 500 - 1 999€</t>
  </si>
  <si>
    <t>2 000 - 2 499€</t>
  </si>
  <si>
    <t>2 500 - 2 999€</t>
  </si>
  <si>
    <t>3 000 - 3 499€</t>
  </si>
  <si>
    <t>3 500 - 3 999€</t>
  </si>
  <si>
    <t>4 000 - 4 499€</t>
  </si>
  <si>
    <t>4 500 - 4 999€</t>
  </si>
  <si>
    <t>&gt;= 5 000€</t>
  </si>
  <si>
    <t>Négatives</t>
  </si>
  <si>
    <t>=&lt; PLAI</t>
  </si>
  <si>
    <t>&gt; PLAI et =&lt; PLUS</t>
  </si>
  <si>
    <t>&gt; PLUS et =&lt;PLS</t>
  </si>
  <si>
    <t>&gt; PLS</t>
  </si>
  <si>
    <t>Camping</t>
  </si>
  <si>
    <t>Centre enfance famille</t>
  </si>
  <si>
    <t>Chez parents/enfants</t>
  </si>
  <si>
    <t>Chez particulier</t>
  </si>
  <si>
    <t>Coordination thérapeutique</t>
  </si>
  <si>
    <t>Habitat mobile</t>
  </si>
  <si>
    <t>Hôtel</t>
  </si>
  <si>
    <t>Locataire HLM</t>
  </si>
  <si>
    <t>Locataire parc privé</t>
  </si>
  <si>
    <t>Logé gratuit.</t>
  </si>
  <si>
    <t>Logement fonction</t>
  </si>
  <si>
    <t>Logement temporaire</t>
  </si>
  <si>
    <t>Propriétaire occupant</t>
  </si>
  <si>
    <t>Résidence étudiant</t>
  </si>
  <si>
    <t>RHVS</t>
  </si>
  <si>
    <t>RS, foyer</t>
  </si>
  <si>
    <t>Sans abri</t>
  </si>
  <si>
    <t>Squat</t>
  </si>
  <si>
    <t>Structure d'hébergement</t>
  </si>
  <si>
    <t>Assistante maternelle</t>
  </si>
  <si>
    <t>Autre motif</t>
  </si>
  <si>
    <t>Décohabitation</t>
  </si>
  <si>
    <t>Démolition</t>
  </si>
  <si>
    <t>Divorce, séparation</t>
  </si>
  <si>
    <t>En procédure d'expulsion</t>
  </si>
  <si>
    <t>Futur couple</t>
  </si>
  <si>
    <t>Inadapté handicap</t>
  </si>
  <si>
    <t>Logement éloigné famille</t>
  </si>
  <si>
    <t>Logement éloigné services</t>
  </si>
  <si>
    <t>Logement éloigné travail</t>
  </si>
  <si>
    <t>Logement indigne</t>
  </si>
  <si>
    <t>Logement non décent</t>
  </si>
  <si>
    <t>Logement repris</t>
  </si>
  <si>
    <t>Logement trop cher</t>
  </si>
  <si>
    <t>Logement trop grand</t>
  </si>
  <si>
    <t>Logement trop petit</t>
  </si>
  <si>
    <t>Mobilité professionnelle</t>
  </si>
  <si>
    <t>Pb. environnement/voisinage</t>
  </si>
  <si>
    <t>Procédure d'expulsion</t>
  </si>
  <si>
    <t>Propriétaire en difficulté</t>
  </si>
  <si>
    <t>Raisons de santé</t>
  </si>
  <si>
    <t>Regroupement familial</t>
  </si>
  <si>
    <t>Renouvellement urbain</t>
  </si>
  <si>
    <t>Sans logement propre</t>
  </si>
  <si>
    <t>Violences familiales</t>
  </si>
  <si>
    <t>Revenu UC moyen</t>
  </si>
  <si>
    <t>Travail</t>
  </si>
  <si>
    <t>Prime d'activité</t>
  </si>
  <si>
    <t>RSA</t>
  </si>
  <si>
    <t>Chomage</t>
  </si>
  <si>
    <t>Alloc Familiales</t>
  </si>
  <si>
    <t>Retraite</t>
  </si>
  <si>
    <t>Autres</t>
  </si>
  <si>
    <t>Sans Objet</t>
  </si>
  <si>
    <t>Ch/T1</t>
  </si>
  <si>
    <t>T2</t>
  </si>
  <si>
    <t>T3</t>
  </si>
  <si>
    <t>T4</t>
  </si>
  <si>
    <t>T5</t>
  </si>
  <si>
    <t>T6 ou plus</t>
  </si>
  <si>
    <t>Incohérent/NR</t>
  </si>
  <si>
    <t>Action Logement</t>
  </si>
  <si>
    <t>Contingent préfet prioritaires (hors fonctionnaires et agents publics de l'Etat)</t>
  </si>
  <si>
    <t>Contingent préfet fonctionnaires et agents publics de l'Etat</t>
  </si>
  <si>
    <t>Contingent région</t>
  </si>
  <si>
    <t>Contingent département</t>
  </si>
  <si>
    <t>Contingent EPCI</t>
  </si>
  <si>
    <t>Contingent commune</t>
  </si>
  <si>
    <t>Contingent des collectivités territoriales, de leurs établissements publics et des EPCI</t>
  </si>
  <si>
    <t>Service de l'État</t>
  </si>
  <si>
    <t>Contingent autres réservataires</t>
  </si>
  <si>
    <t>Hors contingent</t>
  </si>
  <si>
    <t>CC Lodévois et Larzac</t>
  </si>
  <si>
    <t>CC du Grand Pic Saint-Loup</t>
  </si>
  <si>
    <t>200022986</t>
  </si>
  <si>
    <t>CC Grand Orb communauté de communes en Languedoc</t>
  </si>
  <si>
    <t>200042646</t>
  </si>
  <si>
    <t>CC Sud-Hérault</t>
  </si>
  <si>
    <t>200042653</t>
  </si>
  <si>
    <t>CC du Minervois au Caroux</t>
  </si>
  <si>
    <t>200066348</t>
  </si>
  <si>
    <t>CA Sète Agglopôle Méditerranée</t>
  </si>
  <si>
    <t>200066355</t>
  </si>
  <si>
    <t>CC des Monts de Lacaune et de la Montagne du Haut Languedoc</t>
  </si>
  <si>
    <t>200066553</t>
  </si>
  <si>
    <t>CC Les Avant-Monts</t>
  </si>
  <si>
    <t>200071058</t>
  </si>
  <si>
    <t>Montpellier Méditerranée Métropole</t>
  </si>
  <si>
    <t>243400017</t>
  </si>
  <si>
    <t>CC du Clermontais</t>
  </si>
  <si>
    <t>243400355</t>
  </si>
  <si>
    <t>CA du Pays de l'Or</t>
  </si>
  <si>
    <t>243400470</t>
  </si>
  <si>
    <t>CC la Domitienne</t>
  </si>
  <si>
    <t>243400488</t>
  </si>
  <si>
    <t>CC du Pays de Lunel</t>
  </si>
  <si>
    <t>243400520</t>
  </si>
  <si>
    <t>CC Vallée de l'Hérault</t>
  </si>
  <si>
    <t>243400694</t>
  </si>
  <si>
    <t>CC des Cévennes Gangeoises et Suménoises</t>
  </si>
  <si>
    <t>243400736</t>
  </si>
  <si>
    <t>CA de Béziers-Méditerranée</t>
  </si>
  <si>
    <t>243400769</t>
  </si>
  <si>
    <t>CA Hérault-Méditerranée</t>
  </si>
  <si>
    <t>243400819</t>
  </si>
  <si>
    <t>motif de la demande</t>
  </si>
  <si>
    <t>situation familiale</t>
  </si>
  <si>
    <t>situation professionnelle</t>
  </si>
  <si>
    <t>composition familiale</t>
  </si>
  <si>
    <t>personne(s) à charge</t>
  </si>
  <si>
    <t>Artisan, prof lib</t>
  </si>
  <si>
    <t>aucune</t>
  </si>
  <si>
    <t>6 ou +</t>
  </si>
  <si>
    <t>total</t>
  </si>
  <si>
    <t>couple</t>
  </si>
  <si>
    <t>CDD, stage</t>
  </si>
  <si>
    <t>isolé</t>
  </si>
  <si>
    <t>CDI (ou fctnaire)</t>
  </si>
  <si>
    <t>Non disponible</t>
  </si>
  <si>
    <t>Handicap</t>
  </si>
  <si>
    <t>Logement non habitable</t>
  </si>
  <si>
    <t>revenus du demandeur</t>
  </si>
  <si>
    <t>revenus par équiv adulte</t>
  </si>
  <si>
    <t>Pb envmnt/voisinage</t>
  </si>
  <si>
    <t>âge du demandeur</t>
  </si>
  <si>
    <t>Camping, caravaning</t>
  </si>
  <si>
    <t>inf 20 ans</t>
  </si>
  <si>
    <t>20 - 24 ans</t>
  </si>
  <si>
    <t>Rapprochement famille</t>
  </si>
  <si>
    <t>25 - 29 ans</t>
  </si>
  <si>
    <t>Rapprochement services</t>
  </si>
  <si>
    <t>Rapprochement travail</t>
  </si>
  <si>
    <t>35 - 39 ans</t>
  </si>
  <si>
    <t>Loc HLM</t>
  </si>
  <si>
    <t>45 - 49 ans</t>
  </si>
  <si>
    <t>Loc parc privé</t>
  </si>
  <si>
    <t>50 - 54 ans</t>
  </si>
  <si>
    <t>Logé gratuit</t>
  </si>
  <si>
    <t>55 - 59 ans</t>
  </si>
  <si>
    <t>5 000€ ou +</t>
  </si>
  <si>
    <t>60 - 64 ans</t>
  </si>
  <si>
    <t>65 - 69 ans</t>
  </si>
  <si>
    <t>70 - 74 ans</t>
  </si>
  <si>
    <t>revenu moyen</t>
  </si>
  <si>
    <t>ancienneté de la demande</t>
  </si>
  <si>
    <t>Sous-loc ou hébergé temp</t>
  </si>
  <si>
    <t>âge moyen</t>
  </si>
  <si>
    <t>taille du ménage</t>
  </si>
  <si>
    <t>plafonds de revenus</t>
  </si>
  <si>
    <t>inf à 1 an</t>
  </si>
  <si>
    <t>occupant sans titre</t>
  </si>
  <si>
    <t>PLAI</t>
  </si>
  <si>
    <t>2 à &lt; 3 ans</t>
  </si>
  <si>
    <t>PLUS</t>
  </si>
  <si>
    <t>3 à &lt; 4 ans</t>
  </si>
  <si>
    <t>PLS</t>
  </si>
  <si>
    <t>4 à &lt; 5 ans</t>
  </si>
  <si>
    <t>Supérieur PLS</t>
  </si>
  <si>
    <t xml:space="preserve">ancienneté moyenne : </t>
  </si>
  <si>
    <t>8 pers ou +</t>
  </si>
  <si>
    <t>taille moyenne</t>
  </si>
  <si>
    <t>Demande HLM adressée au territoire au 31 décembre 2020</t>
  </si>
  <si>
    <t>Chambre / T1</t>
  </si>
  <si>
    <t>Type de revenus</t>
  </si>
  <si>
    <t>Type de réservataires</t>
  </si>
  <si>
    <t>Prime d'actvté</t>
  </si>
  <si>
    <t>Alloc Fam</t>
  </si>
  <si>
    <t>Action Logmt</t>
  </si>
  <si>
    <t>Région</t>
  </si>
  <si>
    <t>Département</t>
  </si>
  <si>
    <t>EPCI</t>
  </si>
  <si>
    <t>Préfet Hors fctnaire</t>
  </si>
  <si>
    <t>Préfet fctnaire</t>
  </si>
  <si>
    <t>Profil des demandeurs HLM ayant obtenu un logement en 2020</t>
  </si>
  <si>
    <t>revenus mensuels du ménage</t>
  </si>
  <si>
    <t>logement antérieur</t>
  </si>
  <si>
    <t>Raison professionnelle</t>
  </si>
  <si>
    <t>Couple</t>
  </si>
  <si>
    <t>inf à 500€</t>
  </si>
  <si>
    <t>Camping, squat, ss abri/titre</t>
  </si>
  <si>
    <t>Raison familiale</t>
  </si>
  <si>
    <t>Isolé(e)</t>
  </si>
  <si>
    <t>Résidence, hébergement</t>
  </si>
  <si>
    <t>Raison de santé</t>
  </si>
  <si>
    <t>Entraide</t>
  </si>
  <si>
    <t>Sortie obligatoire</t>
  </si>
  <si>
    <t>Logement inadapté</t>
  </si>
  <si>
    <t>2 000€ ou +</t>
  </si>
  <si>
    <t>Situation du logement</t>
  </si>
  <si>
    <t>Log.fonc. ou PO</t>
  </si>
  <si>
    <t>sans logement propre</t>
  </si>
  <si>
    <t>Nombre de personnes à charge</t>
  </si>
  <si>
    <t>5 ou plus</t>
  </si>
  <si>
    <t>20 - 29 ans</t>
  </si>
  <si>
    <t>30 - 39 ans</t>
  </si>
  <si>
    <t>2 ans ou +</t>
  </si>
  <si>
    <t>40 - 49 ans</t>
  </si>
  <si>
    <t>50 - 59 ans</t>
  </si>
  <si>
    <t xml:space="preserve">ancienneté moyenne </t>
  </si>
  <si>
    <t>60 - 69 ans</t>
  </si>
  <si>
    <t>70 ans ou +</t>
  </si>
  <si>
    <t>5 pers ou plus</t>
  </si>
  <si>
    <t>logement attibué</t>
  </si>
  <si>
    <t>T1</t>
  </si>
  <si>
    <t>T5 ou plus</t>
  </si>
  <si>
    <t>Préfet Hors FP</t>
  </si>
  <si>
    <t>Préfet FP</t>
  </si>
  <si>
    <t>logement attribué</t>
  </si>
  <si>
    <t>Profil des demandeurs HLM ayant obtenu un logement en 2020 (suite)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</si>
</sst>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#,##0\ &quot;€&quot;;[Red]\-#,##0\ &quot;€&quot;"/>
    <numFmt numFmtId="164" formatCode="#,##0.0;\-#,##0.0"/>
    <numFmt numFmtId="165" formatCode="0.0%"/>
    <numFmt numFmtId="166" formatCode="#,##0\ &quot;€&quot;"/>
    <numFmt numFmtId="167" formatCode="0.0&quot; ans&quot;"/>
    <numFmt numFmtId="168" formatCode="0.0&quot; mois&quot;"/>
    <numFmt numFmtId="169" formatCode="0.0&quot; personnes&quot;"/>
    <numFmt numFmtId="170" formatCode="0&quot; mois&quot;"/>
    <numFmt numFmtId="171" formatCode="0&quot; ans&quot;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color indexed="63"/>
      <name val="Arial"/>
    </font>
    <font>
      <b/>
      <sz val="10"/>
      <color indexed="60"/>
      <name val="Arial"/>
    </font>
    <font>
      <b/>
      <sz val="9"/>
      <color indexed="8"/>
      <name val="Arial"/>
    </font>
    <font>
      <b/>
      <sz val="7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3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</cellStyleXfs>
  <cellXfs count="174">
    <xf numFmtId="0" fontId="0" fillId="0" borderId="0" xfId="0"/>
    <xf numFmtId="0" fontId="2" fillId="2" borderId="0" xfId="0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vertical="center"/>
    </xf>
    <xf numFmtId="49" fontId="4" fillId="2" borderId="0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left"/>
    </xf>
    <xf numFmtId="49" fontId="4" fillId="2" borderId="5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Border="1"/>
    <xf numFmtId="0" fontId="0" fillId="3" borderId="0" xfId="0" applyFill="1"/>
    <xf numFmtId="0" fontId="0" fillId="3" borderId="7" xfId="0" applyFill="1" applyBorder="1"/>
    <xf numFmtId="0" fontId="0" fillId="3" borderId="0" xfId="0" applyFill="1" applyBorder="1"/>
    <xf numFmtId="0" fontId="0" fillId="3" borderId="8" xfId="0" applyFill="1" applyBorder="1"/>
    <xf numFmtId="0" fontId="8" fillId="3" borderId="7" xfId="0" applyFont="1" applyFill="1" applyBorder="1"/>
    <xf numFmtId="165" fontId="9" fillId="3" borderId="16" xfId="0" applyNumberFormat="1" applyFont="1" applyFill="1" applyBorder="1"/>
    <xf numFmtId="3" fontId="8" fillId="3" borderId="15" xfId="0" applyNumberFormat="1" applyFont="1" applyFill="1" applyBorder="1"/>
    <xf numFmtId="0" fontId="8" fillId="3" borderId="8" xfId="0" applyFont="1" applyFill="1" applyBorder="1" applyAlignment="1">
      <alignment horizontal="center"/>
    </xf>
    <xf numFmtId="3" fontId="8" fillId="3" borderId="0" xfId="0" applyNumberFormat="1" applyFont="1" applyFill="1" applyBorder="1"/>
    <xf numFmtId="0" fontId="9" fillId="3" borderId="8" xfId="0" applyFont="1" applyFill="1" applyBorder="1"/>
    <xf numFmtId="0" fontId="10" fillId="3" borderId="9" xfId="0" applyFont="1" applyFill="1" applyBorder="1"/>
    <xf numFmtId="3" fontId="10" fillId="3" borderId="10" xfId="0" applyNumberFormat="1" applyFont="1" applyFill="1" applyBorder="1"/>
    <xf numFmtId="165" fontId="11" fillId="3" borderId="11" xfId="0" applyNumberFormat="1" applyFont="1" applyFill="1" applyBorder="1"/>
    <xf numFmtId="0" fontId="8" fillId="3" borderId="9" xfId="0" applyFont="1" applyFill="1" applyBorder="1"/>
    <xf numFmtId="165" fontId="11" fillId="3" borderId="11" xfId="0" applyNumberFormat="1" applyFont="1" applyFill="1" applyBorder="1" applyAlignment="1">
      <alignment horizontal="center"/>
    </xf>
    <xf numFmtId="0" fontId="12" fillId="3" borderId="7" xfId="0" applyFont="1" applyFill="1" applyBorder="1"/>
    <xf numFmtId="165" fontId="0" fillId="3" borderId="0" xfId="0" applyNumberFormat="1" applyFill="1"/>
    <xf numFmtId="0" fontId="13" fillId="3" borderId="7" xfId="0" applyFont="1" applyFill="1" applyBorder="1"/>
    <xf numFmtId="166" fontId="13" fillId="3" borderId="0" xfId="0" applyNumberFormat="1" applyFont="1" applyFill="1" applyBorder="1"/>
    <xf numFmtId="3" fontId="0" fillId="0" borderId="0" xfId="0" applyNumberFormat="1"/>
    <xf numFmtId="165" fontId="9" fillId="3" borderId="16" xfId="0" applyNumberFormat="1" applyFont="1" applyFill="1" applyBorder="1" applyAlignment="1">
      <alignment horizontal="center"/>
    </xf>
    <xf numFmtId="3" fontId="8" fillId="3" borderId="0" xfId="0" applyNumberFormat="1" applyFont="1" applyFill="1" applyBorder="1" applyAlignment="1"/>
    <xf numFmtId="165" fontId="9" fillId="3" borderId="8" xfId="0" applyNumberFormat="1" applyFont="1" applyFill="1" applyBorder="1" applyAlignment="1">
      <alignment horizontal="center"/>
    </xf>
    <xf numFmtId="165" fontId="15" fillId="0" borderId="8" xfId="0" applyNumberFormat="1" applyFont="1" applyBorder="1"/>
    <xf numFmtId="3" fontId="0" fillId="3" borderId="0" xfId="0" applyNumberFormat="1" applyFill="1" applyBorder="1"/>
    <xf numFmtId="0" fontId="0" fillId="3" borderId="9" xfId="0" applyFill="1" applyBorder="1"/>
    <xf numFmtId="3" fontId="7" fillId="3" borderId="10" xfId="0" applyNumberFormat="1" applyFont="1" applyFill="1" applyBorder="1"/>
    <xf numFmtId="165" fontId="16" fillId="3" borderId="11" xfId="0" applyNumberFormat="1" applyFont="1" applyFill="1" applyBorder="1"/>
    <xf numFmtId="0" fontId="20" fillId="0" borderId="0" xfId="0" applyFont="1" applyFill="1"/>
    <xf numFmtId="0" fontId="20" fillId="3" borderId="0" xfId="0" applyFont="1" applyFill="1"/>
    <xf numFmtId="165" fontId="9" fillId="3" borderId="16" xfId="2" applyNumberFormat="1" applyFont="1" applyFill="1" applyBorder="1" applyAlignment="1">
      <alignment horizontal="center"/>
    </xf>
    <xf numFmtId="165" fontId="9" fillId="3" borderId="8" xfId="2" applyNumberFormat="1" applyFont="1" applyFill="1" applyBorder="1" applyAlignment="1">
      <alignment horizontal="center"/>
    </xf>
    <xf numFmtId="165" fontId="11" fillId="3" borderId="11" xfId="2" applyNumberFormat="1" applyFont="1" applyFill="1" applyBorder="1" applyAlignment="1">
      <alignment horizontal="center"/>
    </xf>
    <xf numFmtId="165" fontId="9" fillId="3" borderId="19" xfId="0" applyNumberFormat="1" applyFont="1" applyFill="1" applyBorder="1" applyAlignment="1">
      <alignment horizontal="center"/>
    </xf>
    <xf numFmtId="165" fontId="9" fillId="3" borderId="19" xfId="0" applyNumberFormat="1" applyFont="1" applyFill="1" applyBorder="1"/>
    <xf numFmtId="0" fontId="9" fillId="3" borderId="8" xfId="0" applyFont="1" applyFill="1" applyBorder="1" applyAlignment="1">
      <alignment horizontal="center"/>
    </xf>
    <xf numFmtId="0" fontId="0" fillId="0" borderId="8" xfId="0" applyBorder="1"/>
    <xf numFmtId="0" fontId="8" fillId="3" borderId="7" xfId="0" applyFont="1" applyFill="1" applyBorder="1" applyAlignment="1">
      <alignment horizontal="left"/>
    </xf>
    <xf numFmtId="3" fontId="0" fillId="0" borderId="15" xfId="0" applyNumberFormat="1" applyBorder="1"/>
    <xf numFmtId="165" fontId="15" fillId="0" borderId="16" xfId="0" applyNumberFormat="1" applyFont="1" applyBorder="1" applyAlignment="1">
      <alignment horizontal="center"/>
    </xf>
    <xf numFmtId="3" fontId="0" fillId="0" borderId="20" xfId="0" applyNumberFormat="1" applyBorder="1"/>
    <xf numFmtId="0" fontId="0" fillId="0" borderId="0" xfId="0" applyFill="1" applyBorder="1" applyAlignment="1"/>
    <xf numFmtId="3" fontId="0" fillId="0" borderId="0" xfId="0" applyNumberFormat="1" applyFill="1" applyBorder="1" applyAlignment="1"/>
    <xf numFmtId="0" fontId="0" fillId="0" borderId="7" xfId="0" applyBorder="1"/>
    <xf numFmtId="3" fontId="8" fillId="3" borderId="15" xfId="0" applyNumberFormat="1" applyFont="1" applyFill="1" applyBorder="1" applyAlignment="1"/>
    <xf numFmtId="0" fontId="15" fillId="3" borderId="8" xfId="0" applyFont="1" applyFill="1" applyBorder="1" applyAlignment="1">
      <alignment horizontal="center"/>
    </xf>
    <xf numFmtId="165" fontId="16" fillId="3" borderId="11" xfId="0" applyNumberFormat="1" applyFont="1" applyFill="1" applyBorder="1" applyAlignment="1">
      <alignment horizontal="center"/>
    </xf>
    <xf numFmtId="165" fontId="15" fillId="3" borderId="8" xfId="0" applyNumberFormat="1" applyFont="1" applyFill="1" applyBorder="1" applyAlignment="1">
      <alignment horizontal="center"/>
    </xf>
    <xf numFmtId="0" fontId="8" fillId="0" borderId="7" xfId="0" applyFont="1" applyBorder="1"/>
    <xf numFmtId="170" fontId="13" fillId="3" borderId="0" xfId="0" applyNumberFormat="1" applyFont="1" applyFill="1" applyBorder="1"/>
    <xf numFmtId="0" fontId="8" fillId="3" borderId="0" xfId="0" applyFont="1" applyFill="1" applyBorder="1"/>
    <xf numFmtId="3" fontId="10" fillId="3" borderId="10" xfId="0" applyNumberFormat="1" applyFont="1" applyFill="1" applyBorder="1" applyAlignment="1"/>
    <xf numFmtId="171" fontId="13" fillId="3" borderId="0" xfId="0" applyNumberFormat="1" applyFont="1" applyFill="1" applyBorder="1"/>
    <xf numFmtId="3" fontId="0" fillId="0" borderId="0" xfId="0" applyNumberFormat="1" applyBorder="1"/>
    <xf numFmtId="169" fontId="13" fillId="3" borderId="0" xfId="0" applyNumberFormat="1" applyFont="1" applyFill="1" applyBorder="1"/>
    <xf numFmtId="3" fontId="10" fillId="3" borderId="0" xfId="0" applyNumberFormat="1" applyFont="1" applyFill="1" applyBorder="1"/>
    <xf numFmtId="165" fontId="11" fillId="3" borderId="0" xfId="0" applyNumberFormat="1" applyFont="1" applyFill="1" applyBorder="1" applyAlignment="1">
      <alignment horizontal="center"/>
    </xf>
    <xf numFmtId="0" fontId="7" fillId="3" borderId="0" xfId="0" applyFont="1" applyFill="1" applyBorder="1"/>
    <xf numFmtId="165" fontId="16" fillId="3" borderId="0" xfId="0" applyNumberFormat="1" applyFont="1" applyFill="1" applyBorder="1" applyAlignment="1">
      <alignment horizontal="center"/>
    </xf>
    <xf numFmtId="0" fontId="7" fillId="0" borderId="0" xfId="0" applyFont="1" applyBorder="1"/>
    <xf numFmtId="165" fontId="16" fillId="0" borderId="0" xfId="0" applyNumberFormat="1" applyFont="1" applyBorder="1" applyAlignment="1">
      <alignment horizontal="center"/>
    </xf>
    <xf numFmtId="0" fontId="17" fillId="4" borderId="12" xfId="0" applyFont="1" applyFill="1" applyBorder="1" applyAlignment="1">
      <alignment horizontal="center"/>
    </xf>
    <xf numFmtId="0" fontId="17" fillId="4" borderId="13" xfId="0" applyFont="1" applyFill="1" applyBorder="1" applyAlignment="1">
      <alignment horizontal="center"/>
    </xf>
    <xf numFmtId="0" fontId="17" fillId="4" borderId="14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9" fillId="6" borderId="0" xfId="0" applyFont="1" applyFill="1" applyAlignment="1">
      <alignment horizontal="center"/>
    </xf>
    <xf numFmtId="0" fontId="17" fillId="4" borderId="12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/>
    </xf>
    <xf numFmtId="0" fontId="0" fillId="0" borderId="0" xfId="0" applyProtection="1"/>
    <xf numFmtId="0" fontId="18" fillId="6" borderId="0" xfId="0" applyFont="1" applyFill="1" applyAlignment="1" applyProtection="1">
      <alignment horizontal="center"/>
    </xf>
    <xf numFmtId="0" fontId="6" fillId="0" borderId="0" xfId="0" applyFont="1" applyProtection="1"/>
    <xf numFmtId="0" fontId="17" fillId="3" borderId="0" xfId="0" applyFont="1" applyFill="1" applyAlignment="1" applyProtection="1">
      <alignment horizontal="center"/>
    </xf>
    <xf numFmtId="0" fontId="0" fillId="3" borderId="0" xfId="0" applyFill="1" applyProtection="1"/>
    <xf numFmtId="0" fontId="17" fillId="4" borderId="12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0" fillId="3" borderId="7" xfId="0" applyFill="1" applyBorder="1" applyProtection="1"/>
    <xf numFmtId="0" fontId="0" fillId="3" borderId="0" xfId="0" applyFill="1" applyBorder="1" applyProtection="1"/>
    <xf numFmtId="0" fontId="0" fillId="3" borderId="8" xfId="0" applyFill="1" applyBorder="1" applyProtection="1"/>
    <xf numFmtId="0" fontId="0" fillId="3" borderId="7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</xf>
    <xf numFmtId="0" fontId="8" fillId="3" borderId="7" xfId="0" applyFont="1" applyFill="1" applyBorder="1" applyProtection="1"/>
    <xf numFmtId="3" fontId="8" fillId="0" borderId="15" xfId="0" applyNumberFormat="1" applyFont="1" applyFill="1" applyBorder="1" applyProtection="1"/>
    <xf numFmtId="165" fontId="9" fillId="3" borderId="16" xfId="0" applyNumberFormat="1" applyFont="1" applyFill="1" applyBorder="1" applyProtection="1"/>
    <xf numFmtId="3" fontId="8" fillId="3" borderId="15" xfId="0" applyNumberFormat="1" applyFont="1" applyFill="1" applyBorder="1" applyProtection="1"/>
    <xf numFmtId="0" fontId="8" fillId="3" borderId="0" xfId="0" applyFont="1" applyFill="1" applyBorder="1" applyAlignment="1" applyProtection="1">
      <alignment horizontal="center"/>
    </xf>
    <xf numFmtId="0" fontId="8" fillId="3" borderId="8" xfId="0" applyFont="1" applyFill="1" applyBorder="1" applyProtection="1"/>
    <xf numFmtId="0" fontId="8" fillId="3" borderId="0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</xf>
    <xf numFmtId="3" fontId="8" fillId="3" borderId="16" xfId="0" applyNumberFormat="1" applyFont="1" applyFill="1" applyBorder="1" applyAlignment="1" applyProtection="1">
      <alignment horizontal="center"/>
    </xf>
    <xf numFmtId="3" fontId="8" fillId="3" borderId="0" xfId="0" applyNumberFormat="1" applyFont="1" applyFill="1" applyBorder="1" applyProtection="1"/>
    <xf numFmtId="3" fontId="8" fillId="3" borderId="15" xfId="0" applyNumberFormat="1" applyFont="1" applyFill="1" applyBorder="1" applyAlignment="1" applyProtection="1">
      <alignment horizontal="center"/>
    </xf>
    <xf numFmtId="3" fontId="8" fillId="3" borderId="8" xfId="0" applyNumberFormat="1" applyFont="1" applyFill="1" applyBorder="1" applyProtection="1"/>
    <xf numFmtId="3" fontId="10" fillId="3" borderId="0" xfId="0" applyNumberFormat="1" applyFont="1" applyFill="1" applyBorder="1" applyAlignment="1" applyProtection="1">
      <alignment horizontal="center"/>
    </xf>
    <xf numFmtId="3" fontId="10" fillId="3" borderId="8" xfId="0" applyNumberFormat="1" applyFont="1" applyFill="1" applyBorder="1" applyAlignment="1" applyProtection="1">
      <alignment horizontal="center"/>
    </xf>
    <xf numFmtId="3" fontId="8" fillId="3" borderId="0" xfId="0" applyNumberFormat="1" applyFont="1" applyFill="1" applyBorder="1" applyAlignment="1" applyProtection="1">
      <alignment horizontal="center"/>
    </xf>
    <xf numFmtId="3" fontId="8" fillId="3" borderId="8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Protection="1"/>
    <xf numFmtId="0" fontId="10" fillId="3" borderId="9" xfId="0" applyFont="1" applyFill="1" applyBorder="1" applyProtection="1"/>
    <xf numFmtId="3" fontId="10" fillId="3" borderId="10" xfId="0" applyNumberFormat="1" applyFont="1" applyFill="1" applyBorder="1" applyProtection="1"/>
    <xf numFmtId="165" fontId="11" fillId="3" borderId="11" xfId="0" applyNumberFormat="1" applyFont="1" applyFill="1" applyBorder="1" applyProtection="1"/>
    <xf numFmtId="165" fontId="9" fillId="3" borderId="15" xfId="0" applyNumberFormat="1" applyFont="1" applyFill="1" applyBorder="1" applyAlignment="1" applyProtection="1">
      <alignment horizontal="center"/>
    </xf>
    <xf numFmtId="165" fontId="9" fillId="3" borderId="17" xfId="0" applyNumberFormat="1" applyFont="1" applyFill="1" applyBorder="1" applyAlignment="1" applyProtection="1">
      <alignment horizontal="center"/>
    </xf>
    <xf numFmtId="3" fontId="0" fillId="3" borderId="0" xfId="0" applyNumberFormat="1" applyFill="1" applyProtection="1"/>
    <xf numFmtId="0" fontId="9" fillId="3" borderId="0" xfId="0" applyFont="1" applyFill="1" applyBorder="1" applyProtection="1"/>
    <xf numFmtId="0" fontId="8" fillId="3" borderId="9" xfId="0" applyFont="1" applyFill="1" applyBorder="1" applyProtection="1"/>
    <xf numFmtId="165" fontId="11" fillId="3" borderId="10" xfId="0" applyNumberFormat="1" applyFont="1" applyFill="1" applyBorder="1" applyAlignment="1" applyProtection="1">
      <alignment horizontal="center"/>
    </xf>
    <xf numFmtId="165" fontId="11" fillId="3" borderId="11" xfId="0" applyNumberFormat="1" applyFont="1" applyFill="1" applyBorder="1" applyAlignment="1" applyProtection="1">
      <alignment horizontal="center"/>
    </xf>
    <xf numFmtId="6" fontId="8" fillId="3" borderId="7" xfId="0" applyNumberFormat="1" applyFont="1" applyFill="1" applyBorder="1" applyAlignment="1" applyProtection="1">
      <alignment horizontal="left"/>
    </xf>
    <xf numFmtId="0" fontId="12" fillId="3" borderId="7" xfId="0" applyFont="1" applyFill="1" applyBorder="1" applyProtection="1"/>
    <xf numFmtId="0" fontId="9" fillId="3" borderId="18" xfId="0" applyFont="1" applyFill="1" applyBorder="1" applyProtection="1"/>
    <xf numFmtId="165" fontId="9" fillId="3" borderId="8" xfId="0" applyNumberFormat="1" applyFont="1" applyFill="1" applyBorder="1" applyProtection="1"/>
    <xf numFmtId="165" fontId="0" fillId="3" borderId="0" xfId="0" applyNumberFormat="1" applyFill="1" applyProtection="1"/>
    <xf numFmtId="0" fontId="13" fillId="3" borderId="7" xfId="0" applyFont="1" applyFill="1" applyBorder="1" applyProtection="1"/>
    <xf numFmtId="166" fontId="13" fillId="3" borderId="0" xfId="0" applyNumberFormat="1" applyFont="1" applyFill="1" applyBorder="1" applyProtection="1"/>
    <xf numFmtId="166" fontId="13" fillId="3" borderId="0" xfId="0" applyNumberFormat="1" applyFont="1" applyFill="1" applyBorder="1" applyAlignment="1" applyProtection="1">
      <alignment horizontal="center"/>
    </xf>
    <xf numFmtId="166" fontId="13" fillId="3" borderId="8" xfId="0" applyNumberFormat="1" applyFont="1" applyFill="1" applyBorder="1" applyAlignment="1" applyProtection="1">
      <alignment horizontal="center"/>
    </xf>
    <xf numFmtId="3" fontId="0" fillId="0" borderId="0" xfId="0" applyNumberFormat="1" applyProtection="1"/>
    <xf numFmtId="0" fontId="14" fillId="3" borderId="7" xfId="0" applyFont="1" applyFill="1" applyBorder="1" applyProtection="1"/>
    <xf numFmtId="165" fontId="9" fillId="3" borderId="16" xfId="0" applyNumberFormat="1" applyFont="1" applyFill="1" applyBorder="1" applyAlignment="1" applyProtection="1">
      <alignment horizontal="center"/>
    </xf>
    <xf numFmtId="3" fontId="8" fillId="3" borderId="0" xfId="0" applyNumberFormat="1" applyFont="1" applyFill="1" applyBorder="1" applyAlignment="1" applyProtection="1"/>
    <xf numFmtId="165" fontId="9" fillId="3" borderId="8" xfId="0" applyNumberFormat="1" applyFont="1" applyFill="1" applyBorder="1" applyAlignment="1" applyProtection="1">
      <alignment horizontal="center"/>
    </xf>
    <xf numFmtId="0" fontId="13" fillId="3" borderId="7" xfId="0" applyFont="1" applyFill="1" applyBorder="1" applyAlignment="1" applyProtection="1">
      <alignment horizontal="right"/>
    </xf>
    <xf numFmtId="168" fontId="13" fillId="3" borderId="0" xfId="0" applyNumberFormat="1" applyFont="1" applyFill="1" applyBorder="1" applyAlignment="1" applyProtection="1">
      <alignment horizontal="center"/>
    </xf>
    <xf numFmtId="168" fontId="13" fillId="3" borderId="8" xfId="0" applyNumberFormat="1" applyFont="1" applyFill="1" applyBorder="1" applyAlignment="1" applyProtection="1">
      <alignment horizontal="center"/>
    </xf>
    <xf numFmtId="165" fontId="15" fillId="0" borderId="8" xfId="0" applyNumberFormat="1" applyFont="1" applyBorder="1" applyProtection="1"/>
    <xf numFmtId="169" fontId="13" fillId="3" borderId="0" xfId="0" applyNumberFormat="1" applyFont="1" applyFill="1" applyBorder="1" applyAlignment="1" applyProtection="1">
      <alignment horizontal="center"/>
    </xf>
    <xf numFmtId="169" fontId="13" fillId="3" borderId="8" xfId="0" applyNumberFormat="1" applyFont="1" applyFill="1" applyBorder="1" applyAlignment="1" applyProtection="1">
      <alignment horizontal="center"/>
    </xf>
    <xf numFmtId="165" fontId="15" fillId="3" borderId="8" xfId="0" applyNumberFormat="1" applyFont="1" applyFill="1" applyBorder="1" applyProtection="1"/>
    <xf numFmtId="3" fontId="0" fillId="3" borderId="0" xfId="0" applyNumberFormat="1" applyFill="1" applyBorder="1" applyProtection="1"/>
    <xf numFmtId="0" fontId="0" fillId="3" borderId="9" xfId="0" applyFill="1" applyBorder="1" applyProtection="1"/>
    <xf numFmtId="3" fontId="7" fillId="3" borderId="10" xfId="0" applyNumberFormat="1" applyFont="1" applyFill="1" applyBorder="1" applyProtection="1"/>
    <xf numFmtId="165" fontId="16" fillId="3" borderId="11" xfId="0" applyNumberFormat="1" applyFont="1" applyFill="1" applyBorder="1" applyProtection="1"/>
    <xf numFmtId="167" fontId="13" fillId="3" borderId="0" xfId="0" applyNumberFormat="1" applyFont="1" applyFill="1" applyBorder="1" applyAlignment="1" applyProtection="1">
      <alignment horizontal="left"/>
    </xf>
    <xf numFmtId="167" fontId="13" fillId="3" borderId="8" xfId="0" applyNumberFormat="1" applyFont="1" applyFill="1" applyBorder="1" applyAlignment="1" applyProtection="1">
      <alignment horizontal="left"/>
    </xf>
  </cellXfs>
  <cellStyles count="4">
    <cellStyle name="Normal" xfId="0" builtinId="0"/>
    <cellStyle name="Normal 2" xfId="1"/>
    <cellStyle name="Normal 3" xfId="3"/>
    <cellStyle name="Pourcentag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51</xdr:row>
      <xdr:rowOff>142875</xdr:rowOff>
    </xdr:from>
    <xdr:to>
      <xdr:col>7</xdr:col>
      <xdr:colOff>190500</xdr:colOff>
      <xdr:row>54</xdr:row>
      <xdr:rowOff>142875</xdr:rowOff>
    </xdr:to>
    <xdr:pic>
      <xdr:nvPicPr>
        <xdr:cNvPr id="1077" name="Picture 101" descr="R:\Hierarchique\PDA\Urbanisme_Habitat_Logement\Repertoires_Services\Observatoire_habitat\Fiches Foncier Habitat\head_bg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9372600"/>
          <a:ext cx="1524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257175</xdr:colOff>
      <xdr:row>51</xdr:row>
      <xdr:rowOff>142875</xdr:rowOff>
    </xdr:from>
    <xdr:to>
      <xdr:col>4</xdr:col>
      <xdr:colOff>419100</xdr:colOff>
      <xdr:row>54</xdr:row>
      <xdr:rowOff>142875</xdr:rowOff>
    </xdr:to>
    <xdr:pic>
      <xdr:nvPicPr>
        <xdr:cNvPr id="1078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9372600"/>
          <a:ext cx="7334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1333500</xdr:colOff>
      <xdr:row>43</xdr:row>
      <xdr:rowOff>82550</xdr:rowOff>
    </xdr:from>
    <xdr:to>
      <xdr:col>3</xdr:col>
      <xdr:colOff>28575</xdr:colOff>
      <xdr:row>46</xdr:row>
      <xdr:rowOff>82550</xdr:rowOff>
    </xdr:to>
    <xdr:pic>
      <xdr:nvPicPr>
        <xdr:cNvPr id="2" name="Picture 101" descr="R:\Hierarchique\PDA\Urbanisme_Habitat_Logement\Repertoires_Services\Observatoire_habitat\Fiches Foncier Habitat\head_bg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8464550"/>
          <a:ext cx="15525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393700</xdr:colOff>
      <xdr:row>43</xdr:row>
      <xdr:rowOff>82550</xdr:rowOff>
    </xdr:from>
    <xdr:to>
      <xdr:col>0</xdr:col>
      <xdr:colOff>762000</xdr:colOff>
      <xdr:row>46</xdr:row>
      <xdr:rowOff>82550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8464550"/>
          <a:ext cx="7588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ria\AppData\Local\Microsoft\Windows\Temporary%20Internet%20Files\IE\M9W1UN6Q\Demande_Attribution_HLM_communes_EPCI%2031%20decembr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Dcom"/>
      <sheetName val="fiche demande HLM commune"/>
      <sheetName val="fiche demande HLM EPCI"/>
      <sheetName val="fiche attribution HLM commune"/>
      <sheetName val="baseAcom"/>
      <sheetName val="fiche attribution HLM EPCI"/>
      <sheetName val="fiche_dem_com_VD"/>
      <sheetName val="fiche_att_com_VD"/>
      <sheetName val="baseDEPCI"/>
      <sheetName val="fiche_dem_EPCI_VD"/>
      <sheetName val="fiche_att_EPCI_VD"/>
      <sheetName val="baseAEPCI"/>
    </sheetNames>
    <sheetDataSet>
      <sheetData sheetId="0" refreshError="1">
        <row r="2">
          <cell r="A2" t="str">
            <v>34001 - Abeilhan</v>
          </cell>
        </row>
        <row r="3">
          <cell r="A3" t="str">
            <v>34002 - Adissan</v>
          </cell>
        </row>
        <row r="4">
          <cell r="A4" t="str">
            <v>34003 - Agde</v>
          </cell>
          <cell r="CD4">
            <v>1</v>
          </cell>
        </row>
        <row r="5">
          <cell r="A5" t="str">
            <v>34004 - Agel</v>
          </cell>
        </row>
        <row r="6">
          <cell r="A6" t="str">
            <v>34005 - Agonès</v>
          </cell>
        </row>
        <row r="7">
          <cell r="A7" t="str">
            <v>34006 - Aigne</v>
          </cell>
        </row>
        <row r="8">
          <cell r="A8" t="str">
            <v>34007 - Aigues-Vives</v>
          </cell>
        </row>
        <row r="9">
          <cell r="A9" t="str">
            <v>34008 - Les Aires</v>
          </cell>
        </row>
        <row r="10">
          <cell r="A10" t="str">
            <v>34009 - Alignan-du-Vent</v>
          </cell>
        </row>
        <row r="11">
          <cell r="A11" t="str">
            <v>34010 - Aniane</v>
          </cell>
        </row>
        <row r="12">
          <cell r="A12" t="str">
            <v>34011 - Arboras</v>
          </cell>
        </row>
        <row r="13">
          <cell r="A13" t="str">
            <v>34012 - Argelliers</v>
          </cell>
        </row>
        <row r="14">
          <cell r="A14" t="str">
            <v>34013 - Aspiran</v>
          </cell>
        </row>
        <row r="15">
          <cell r="A15" t="str">
            <v>34014 - Assas</v>
          </cell>
        </row>
        <row r="16">
          <cell r="A16" t="str">
            <v>34015 - Assignan</v>
          </cell>
        </row>
        <row r="17">
          <cell r="A17" t="str">
            <v>34016 - Aumelas</v>
          </cell>
        </row>
        <row r="18">
          <cell r="A18" t="str">
            <v>34017 - Aumes</v>
          </cell>
        </row>
        <row r="19">
          <cell r="A19" t="str">
            <v>34018 - Autignac</v>
          </cell>
        </row>
        <row r="20">
          <cell r="A20" t="str">
            <v>34019 - Avène</v>
          </cell>
        </row>
        <row r="21">
          <cell r="A21" t="str">
            <v>34020 - Azillanet</v>
          </cell>
        </row>
        <row r="22">
          <cell r="A22" t="str">
            <v>34021 - Babeau-Bouldoux</v>
          </cell>
        </row>
        <row r="23">
          <cell r="A23" t="str">
            <v>34022 - Baillargues</v>
          </cell>
        </row>
        <row r="24">
          <cell r="A24" t="str">
            <v>34023 - Balaruc-les-Bains</v>
          </cell>
          <cell r="CD24">
            <v>3</v>
          </cell>
        </row>
        <row r="25">
          <cell r="A25" t="str">
            <v>34024 - Balaruc-le-Vieux</v>
          </cell>
          <cell r="CD25">
            <v>1</v>
          </cell>
        </row>
        <row r="26">
          <cell r="A26" t="str">
            <v>34025 - Bassan</v>
          </cell>
        </row>
        <row r="27">
          <cell r="A27" t="str">
            <v>34026 - Beaufort</v>
          </cell>
        </row>
        <row r="28">
          <cell r="A28" t="str">
            <v>34027 - Beaulieu</v>
          </cell>
        </row>
        <row r="29">
          <cell r="A29" t="str">
            <v>34028 - Bédarieux</v>
          </cell>
        </row>
        <row r="30">
          <cell r="A30" t="str">
            <v>34029 - Bélarga</v>
          </cell>
        </row>
        <row r="31">
          <cell r="A31" t="str">
            <v>34030 - Berlou</v>
          </cell>
        </row>
        <row r="32">
          <cell r="A32" t="str">
            <v>34031 - Bessan</v>
          </cell>
          <cell r="CD32">
            <v>2</v>
          </cell>
        </row>
        <row r="33">
          <cell r="A33" t="str">
            <v>34032 - Béziers</v>
          </cell>
          <cell r="CD33">
            <v>9</v>
          </cell>
        </row>
        <row r="34">
          <cell r="A34" t="str">
            <v>34033 - Boisseron</v>
          </cell>
        </row>
        <row r="35">
          <cell r="A35" t="str">
            <v>34034 - Boisset</v>
          </cell>
        </row>
        <row r="36">
          <cell r="A36" t="str">
            <v>34035 - La Boissière</v>
          </cell>
        </row>
        <row r="37">
          <cell r="A37" t="str">
            <v>34036 - Le Bosc</v>
          </cell>
        </row>
        <row r="38">
          <cell r="A38" t="str">
            <v>34037 - Boujan-sur-Libron</v>
          </cell>
        </row>
        <row r="39">
          <cell r="A39" t="str">
            <v>34038 - Le Bousquet-d'Orb</v>
          </cell>
        </row>
        <row r="40">
          <cell r="A40" t="str">
            <v>34039 - Bouzigues</v>
          </cell>
        </row>
        <row r="41">
          <cell r="A41" t="str">
            <v>34040 - Brenas</v>
          </cell>
        </row>
        <row r="42">
          <cell r="A42" t="str">
            <v>34041 - Brignac</v>
          </cell>
        </row>
        <row r="43">
          <cell r="A43" t="str">
            <v>34042 - Brissac</v>
          </cell>
        </row>
        <row r="44">
          <cell r="A44" t="str">
            <v>34043 - Buzignargues</v>
          </cell>
        </row>
        <row r="45">
          <cell r="A45" t="str">
            <v>34044 - Cabrerolles</v>
          </cell>
        </row>
        <row r="46">
          <cell r="A46" t="str">
            <v>34045 - Cabrières</v>
          </cell>
        </row>
        <row r="47">
          <cell r="A47" t="str">
            <v>34046 - Cambon-et-Salvergues</v>
          </cell>
        </row>
        <row r="48">
          <cell r="A48" t="str">
            <v>34047 - Campagnan</v>
          </cell>
        </row>
        <row r="49">
          <cell r="A49" t="str">
            <v>34048 - Campagne</v>
          </cell>
        </row>
        <row r="50">
          <cell r="A50" t="str">
            <v>34049 - Camplong</v>
          </cell>
        </row>
        <row r="51">
          <cell r="A51" t="str">
            <v>34050 - Candillargues</v>
          </cell>
        </row>
        <row r="52">
          <cell r="A52" t="str">
            <v>34051 - Canet</v>
          </cell>
        </row>
        <row r="53">
          <cell r="A53" t="str">
            <v>34052 - Capestang</v>
          </cell>
        </row>
        <row r="54">
          <cell r="A54" t="str">
            <v>34053 - Carlencas et Levas</v>
          </cell>
        </row>
        <row r="55">
          <cell r="A55" t="str">
            <v>34054 - Cassagnoles</v>
          </cell>
        </row>
        <row r="56">
          <cell r="A56" t="str">
            <v>34055 - Castanet-le-Haut</v>
          </cell>
        </row>
        <row r="57">
          <cell r="A57" t="str">
            <v>34056 - Castelnau-de-Guers</v>
          </cell>
        </row>
        <row r="58">
          <cell r="A58" t="str">
            <v>34057 - Castelnau-le-Lez</v>
          </cell>
          <cell r="CD58">
            <v>6</v>
          </cell>
        </row>
        <row r="59">
          <cell r="A59" t="str">
            <v>34058 - Castries</v>
          </cell>
        </row>
        <row r="60">
          <cell r="A60" t="str">
            <v>34059 - La Caunette</v>
          </cell>
        </row>
        <row r="61">
          <cell r="A61" t="str">
            <v>34060 - Causse-de-la-Selle</v>
          </cell>
        </row>
        <row r="62">
          <cell r="A62" t="str">
            <v>34061 - Causses-et-Veyran</v>
          </cell>
        </row>
        <row r="63">
          <cell r="A63" t="str">
            <v>34062 - Caussiniojouls</v>
          </cell>
        </row>
        <row r="64">
          <cell r="A64" t="str">
            <v>34063 - Caux</v>
          </cell>
        </row>
        <row r="65">
          <cell r="A65" t="str">
            <v>34064 - Le Caylar</v>
          </cell>
        </row>
        <row r="66">
          <cell r="A66" t="str">
            <v>34065 - Cazedarnes</v>
          </cell>
        </row>
        <row r="67">
          <cell r="A67" t="str">
            <v>34066 - Cazevieille</v>
          </cell>
        </row>
        <row r="68">
          <cell r="A68" t="str">
            <v>34067 - Cazilhac</v>
          </cell>
        </row>
        <row r="69">
          <cell r="A69" t="str">
            <v>34068 - Cazouls-d'Hérault</v>
          </cell>
        </row>
        <row r="70">
          <cell r="A70" t="str">
            <v>34069 - Cazouls-lès-Béziers</v>
          </cell>
        </row>
        <row r="71">
          <cell r="A71" t="str">
            <v>34070 - Cébazan</v>
          </cell>
        </row>
        <row r="72">
          <cell r="A72" t="str">
            <v>34071 - Ceilhes-et-Rocozels</v>
          </cell>
        </row>
        <row r="73">
          <cell r="A73" t="str">
            <v>34072 - Celles</v>
          </cell>
        </row>
        <row r="74">
          <cell r="A74" t="str">
            <v>34073 - Cers</v>
          </cell>
        </row>
        <row r="75">
          <cell r="A75" t="str">
            <v>34074 - Cessenon-sur-Orb</v>
          </cell>
          <cell r="CD75">
            <v>1</v>
          </cell>
        </row>
        <row r="76">
          <cell r="A76" t="str">
            <v>34075 - Cesseras</v>
          </cell>
        </row>
        <row r="77">
          <cell r="A77" t="str">
            <v>34076 - Ceyras</v>
          </cell>
        </row>
        <row r="78">
          <cell r="A78" t="str">
            <v>34077 - Clapiers</v>
          </cell>
        </row>
        <row r="79">
          <cell r="A79" t="str">
            <v>34078 - Claret</v>
          </cell>
        </row>
        <row r="80">
          <cell r="A80" t="str">
            <v>34079 - Clermont-l'Hérault</v>
          </cell>
          <cell r="CD80">
            <v>1</v>
          </cell>
        </row>
        <row r="81">
          <cell r="A81" t="str">
            <v>34080 - Colombières-sur-Orb</v>
          </cell>
        </row>
        <row r="82">
          <cell r="A82" t="str">
            <v>34081 - Colombiers</v>
          </cell>
          <cell r="CD82">
            <v>1</v>
          </cell>
        </row>
        <row r="83">
          <cell r="A83" t="str">
            <v>34082 - Combaillaux</v>
          </cell>
        </row>
        <row r="84">
          <cell r="A84" t="str">
            <v>34083 - Combes</v>
          </cell>
        </row>
        <row r="85">
          <cell r="A85" t="str">
            <v>34084 - Corneilhan</v>
          </cell>
        </row>
        <row r="86">
          <cell r="A86" t="str">
            <v>34085 - Coulobres</v>
          </cell>
        </row>
        <row r="87">
          <cell r="A87" t="str">
            <v>34086 - Courniou</v>
          </cell>
        </row>
        <row r="88">
          <cell r="A88" t="str">
            <v>34087 - Cournonsec</v>
          </cell>
        </row>
        <row r="89">
          <cell r="A89" t="str">
            <v>34088 - Cournonterral</v>
          </cell>
          <cell r="CD89">
            <v>1</v>
          </cell>
        </row>
        <row r="90">
          <cell r="A90" t="str">
            <v>34089 - Creissan</v>
          </cell>
        </row>
        <row r="91">
          <cell r="A91" t="str">
            <v>34090 - Le Crès</v>
          </cell>
          <cell r="CD91">
            <v>2</v>
          </cell>
        </row>
        <row r="92">
          <cell r="A92" t="str">
            <v>34091 - Le Cros</v>
          </cell>
        </row>
        <row r="93">
          <cell r="A93" t="str">
            <v>34092 - Cruzy</v>
          </cell>
        </row>
        <row r="94">
          <cell r="A94" t="str">
            <v>34093 - Dio-et-Valquières</v>
          </cell>
        </row>
        <row r="95">
          <cell r="A95" t="str">
            <v>34094 - Espondeilhan</v>
          </cell>
        </row>
        <row r="96">
          <cell r="A96" t="str">
            <v>34095 - Fabrègues</v>
          </cell>
        </row>
        <row r="97">
          <cell r="A97" t="str">
            <v>34096 - Faugères</v>
          </cell>
        </row>
        <row r="98">
          <cell r="A98" t="str">
            <v>34097 - Félines-Minervois</v>
          </cell>
        </row>
        <row r="99">
          <cell r="A99" t="str">
            <v>34098 - Ferrals-les-Montagnes</v>
          </cell>
        </row>
        <row r="100">
          <cell r="A100" t="str">
            <v>34099 - Ferrières-les-Verreries</v>
          </cell>
        </row>
        <row r="101">
          <cell r="A101" t="str">
            <v>34100 - Ferrières-Poussarou</v>
          </cell>
        </row>
        <row r="102">
          <cell r="A102" t="str">
            <v>34101 - Florensac</v>
          </cell>
          <cell r="CD102">
            <v>1</v>
          </cell>
        </row>
        <row r="103">
          <cell r="A103" t="str">
            <v>34102 - Fontanès</v>
          </cell>
        </row>
        <row r="104">
          <cell r="A104" t="str">
            <v>34103 - Fontès</v>
          </cell>
        </row>
        <row r="105">
          <cell r="A105" t="str">
            <v>34104 - Fos</v>
          </cell>
        </row>
        <row r="106">
          <cell r="A106" t="str">
            <v>34105 - Fouzilhon</v>
          </cell>
        </row>
        <row r="107">
          <cell r="A107" t="str">
            <v>34106 - Fozières</v>
          </cell>
        </row>
        <row r="108">
          <cell r="A108" t="str">
            <v>34107 - Fraisse-sur-Agout</v>
          </cell>
        </row>
        <row r="109">
          <cell r="A109" t="str">
            <v>34108 - Frontignan</v>
          </cell>
          <cell r="CD109">
            <v>2</v>
          </cell>
        </row>
        <row r="110">
          <cell r="A110" t="str">
            <v>34109 - Gabian</v>
          </cell>
        </row>
        <row r="111">
          <cell r="A111" t="str">
            <v>34110 - Galargues</v>
          </cell>
        </row>
        <row r="112">
          <cell r="A112" t="str">
            <v>34111 - Ganges</v>
          </cell>
        </row>
        <row r="113">
          <cell r="A113" t="str">
            <v>34112 - Garrigues</v>
          </cell>
        </row>
        <row r="114">
          <cell r="A114" t="str">
            <v>34113 - Gigean</v>
          </cell>
          <cell r="CD114">
            <v>1</v>
          </cell>
        </row>
        <row r="115">
          <cell r="A115" t="str">
            <v>34114 - Gignac</v>
          </cell>
          <cell r="CD115">
            <v>1</v>
          </cell>
        </row>
        <row r="116">
          <cell r="A116" t="str">
            <v>34115 - Gorniès</v>
          </cell>
        </row>
        <row r="117">
          <cell r="A117" t="str">
            <v>34116 - Grabels</v>
          </cell>
          <cell r="CD117">
            <v>2</v>
          </cell>
        </row>
        <row r="118">
          <cell r="A118" t="str">
            <v>34117 - Graissessac</v>
          </cell>
        </row>
        <row r="119">
          <cell r="A119" t="str">
            <v>34118 - Guzargues</v>
          </cell>
        </row>
        <row r="120">
          <cell r="A120" t="str">
            <v>34119 - Hérépian</v>
          </cell>
        </row>
        <row r="121">
          <cell r="A121" t="str">
            <v>34120 - Jacou</v>
          </cell>
          <cell r="CD121">
            <v>1</v>
          </cell>
        </row>
        <row r="122">
          <cell r="A122" t="str">
            <v>34121 - Joncels</v>
          </cell>
        </row>
        <row r="123">
          <cell r="A123" t="str">
            <v>34122 - Jonquières</v>
          </cell>
        </row>
        <row r="124">
          <cell r="A124" t="str">
            <v>34123 - Juvignac</v>
          </cell>
          <cell r="CD124">
            <v>2</v>
          </cell>
        </row>
        <row r="125">
          <cell r="A125" t="str">
            <v>34124 - Lacoste</v>
          </cell>
        </row>
        <row r="126">
          <cell r="A126" t="str">
            <v>34125 - Lagamas</v>
          </cell>
        </row>
        <row r="127">
          <cell r="A127" t="str">
            <v>34126 - Lamalou-les-Bains</v>
          </cell>
        </row>
        <row r="128">
          <cell r="A128" t="str">
            <v>34127 - Lansargues</v>
          </cell>
        </row>
        <row r="129">
          <cell r="A129" t="str">
            <v>34128 - Laroque</v>
          </cell>
        </row>
        <row r="130">
          <cell r="A130" t="str">
            <v>34129 - Lattes</v>
          </cell>
          <cell r="CD130">
            <v>5</v>
          </cell>
        </row>
        <row r="131">
          <cell r="A131" t="str">
            <v>34130 - Laurens</v>
          </cell>
        </row>
        <row r="132">
          <cell r="A132" t="str">
            <v>34131 - Lauret</v>
          </cell>
        </row>
        <row r="133">
          <cell r="A133" t="str">
            <v>34132 - Lauroux</v>
          </cell>
        </row>
        <row r="134">
          <cell r="A134" t="str">
            <v>34133 - Lavalette</v>
          </cell>
        </row>
        <row r="135">
          <cell r="A135" t="str">
            <v>34134 - Lavérune</v>
          </cell>
        </row>
        <row r="136">
          <cell r="A136" t="str">
            <v>34135 - Lespignan</v>
          </cell>
        </row>
        <row r="137">
          <cell r="A137" t="str">
            <v>34136 - Lézignan-la-Cèbe</v>
          </cell>
          <cell r="CD137">
            <v>1</v>
          </cell>
        </row>
        <row r="138">
          <cell r="A138" t="str">
            <v>34137 - Liausson</v>
          </cell>
        </row>
        <row r="139">
          <cell r="A139" t="str">
            <v>34138 - Lieuran-Cabrières</v>
          </cell>
        </row>
        <row r="140">
          <cell r="A140" t="str">
            <v>34139 - Lieuran-lès-Béziers</v>
          </cell>
        </row>
        <row r="141">
          <cell r="A141" t="str">
            <v>34140 - Lignan-sur-Orb</v>
          </cell>
        </row>
        <row r="142">
          <cell r="A142" t="str">
            <v>34141 - La Livinière</v>
          </cell>
        </row>
        <row r="143">
          <cell r="A143" t="str">
            <v>34142 - Lodève</v>
          </cell>
        </row>
        <row r="144">
          <cell r="A144" t="str">
            <v>34143 - Loupian</v>
          </cell>
        </row>
        <row r="145">
          <cell r="A145" t="str">
            <v>34144 - Lunas</v>
          </cell>
        </row>
        <row r="146">
          <cell r="A146" t="str">
            <v>34145 - Lunel</v>
          </cell>
          <cell r="CD146">
            <v>2</v>
          </cell>
        </row>
        <row r="147">
          <cell r="A147" t="str">
            <v>34146 - Lunel-Viel</v>
          </cell>
        </row>
        <row r="148">
          <cell r="A148" t="str">
            <v>34147 - Magalas</v>
          </cell>
        </row>
        <row r="149">
          <cell r="A149" t="str">
            <v>34148 - Maraussan</v>
          </cell>
        </row>
        <row r="150">
          <cell r="A150" t="str">
            <v>34149 - Margon</v>
          </cell>
          <cell r="CD150">
            <v>1</v>
          </cell>
        </row>
        <row r="151">
          <cell r="A151" t="str">
            <v>34150 - Marseillan</v>
          </cell>
        </row>
        <row r="152">
          <cell r="A152" t="str">
            <v>34151 - Marsillargues</v>
          </cell>
          <cell r="CD152">
            <v>1</v>
          </cell>
        </row>
        <row r="153">
          <cell r="A153" t="str">
            <v>34152 - Mas-de-Londres</v>
          </cell>
        </row>
        <row r="154">
          <cell r="A154" t="str">
            <v>34153 - Les Matelles</v>
          </cell>
        </row>
        <row r="155">
          <cell r="A155" t="str">
            <v>34154 - Mauguio</v>
          </cell>
        </row>
        <row r="156">
          <cell r="A156" t="str">
            <v>34155 - Maureilhan</v>
          </cell>
        </row>
        <row r="157">
          <cell r="A157" t="str">
            <v>34156 - Mérifons</v>
          </cell>
        </row>
        <row r="158">
          <cell r="A158" t="str">
            <v>34157 - Mèze</v>
          </cell>
          <cell r="CD158">
            <v>2</v>
          </cell>
        </row>
        <row r="159">
          <cell r="A159" t="str">
            <v>34158 - Minerve</v>
          </cell>
        </row>
        <row r="160">
          <cell r="A160" t="str">
            <v>34159 - Mireval</v>
          </cell>
        </row>
        <row r="161">
          <cell r="A161" t="str">
            <v>34160 - Mons</v>
          </cell>
        </row>
        <row r="162">
          <cell r="A162" t="str">
            <v>34161 - Montady</v>
          </cell>
        </row>
        <row r="163">
          <cell r="A163" t="str">
            <v>34162 - Montagnac</v>
          </cell>
        </row>
        <row r="164">
          <cell r="A164" t="str">
            <v>34163 - Montarnaud</v>
          </cell>
        </row>
        <row r="165">
          <cell r="A165" t="str">
            <v>34164 - Montaud</v>
          </cell>
        </row>
        <row r="166">
          <cell r="A166" t="str">
            <v>34165 - Montbazin</v>
          </cell>
        </row>
        <row r="167">
          <cell r="A167" t="str">
            <v>34166 - Montblanc</v>
          </cell>
        </row>
        <row r="168">
          <cell r="A168" t="str">
            <v>34167 - Montels</v>
          </cell>
        </row>
        <row r="169">
          <cell r="A169" t="str">
            <v>34168 - Montesquieu</v>
          </cell>
        </row>
        <row r="170">
          <cell r="A170" t="str">
            <v>34169 - Montferrier-sur-Lez</v>
          </cell>
        </row>
        <row r="171">
          <cell r="A171" t="str">
            <v>34170 - Montouliers</v>
          </cell>
        </row>
        <row r="172">
          <cell r="A172" t="str">
            <v>34171 - Montoulieu</v>
          </cell>
        </row>
        <row r="173">
          <cell r="A173" t="str">
            <v>34172 - Montpellier</v>
          </cell>
          <cell r="CD173">
            <v>60</v>
          </cell>
        </row>
        <row r="174">
          <cell r="A174" t="str">
            <v>34173 - Montpeyroux</v>
          </cell>
        </row>
        <row r="175">
          <cell r="A175" t="str">
            <v>34174 - Moulès-et-Baucels</v>
          </cell>
        </row>
        <row r="176">
          <cell r="A176" t="str">
            <v>34175 - Mourèze</v>
          </cell>
        </row>
        <row r="177">
          <cell r="A177" t="str">
            <v>34176 - Mudaison</v>
          </cell>
        </row>
        <row r="178">
          <cell r="A178" t="str">
            <v>34177 - Murles</v>
          </cell>
        </row>
        <row r="179">
          <cell r="A179" t="str">
            <v>34178 - Murviel-lès-Béziers</v>
          </cell>
        </row>
        <row r="180">
          <cell r="A180" t="str">
            <v>34179 - Murviel-lès-Montpellier</v>
          </cell>
        </row>
        <row r="181">
          <cell r="A181" t="str">
            <v>34180 - Nébian</v>
          </cell>
        </row>
        <row r="182">
          <cell r="A182" t="str">
            <v>34181 - Neffiès</v>
          </cell>
        </row>
        <row r="183">
          <cell r="A183" t="str">
            <v>34182 - Nézignan-l'Evêque</v>
          </cell>
          <cell r="CD183">
            <v>1</v>
          </cell>
        </row>
        <row r="184">
          <cell r="A184" t="str">
            <v>34183 - Nissan-lez-Enserune</v>
          </cell>
        </row>
        <row r="185">
          <cell r="A185" t="str">
            <v>34184 - Nizas</v>
          </cell>
        </row>
        <row r="186">
          <cell r="A186" t="str">
            <v>34185 - Notre-Dame-de-Londres</v>
          </cell>
        </row>
        <row r="187">
          <cell r="A187" t="str">
            <v>34186 - Octon</v>
          </cell>
        </row>
        <row r="188">
          <cell r="A188" t="str">
            <v>34187 - Olargues</v>
          </cell>
        </row>
        <row r="189">
          <cell r="A189" t="str">
            <v>34188 - Olmet-et-Villecun</v>
          </cell>
        </row>
        <row r="190">
          <cell r="A190" t="str">
            <v>34189 - Olonzac</v>
          </cell>
        </row>
        <row r="191">
          <cell r="A191" t="str">
            <v>34190 - Oupia</v>
          </cell>
        </row>
        <row r="192">
          <cell r="A192" t="str">
            <v>34191 - Pailhès</v>
          </cell>
        </row>
        <row r="193">
          <cell r="A193" t="str">
            <v>34192 - Palavas-les-Flots</v>
          </cell>
        </row>
        <row r="194">
          <cell r="A194" t="str">
            <v>34193 - Pardailhan</v>
          </cell>
        </row>
        <row r="195">
          <cell r="A195" t="str">
            <v>34194 - Paulhan</v>
          </cell>
        </row>
        <row r="196">
          <cell r="A196" t="str">
            <v>34195 - Pégairolles-de-Buèges</v>
          </cell>
        </row>
        <row r="197">
          <cell r="A197" t="str">
            <v>34196 - Pégairolles-de-l'Escalette</v>
          </cell>
        </row>
        <row r="198">
          <cell r="A198" t="str">
            <v>34197 - Péret</v>
          </cell>
        </row>
        <row r="199">
          <cell r="A199" t="str">
            <v>34198 - Pérols</v>
          </cell>
        </row>
        <row r="200">
          <cell r="A200" t="str">
            <v>34199 - Pézenas</v>
          </cell>
        </row>
        <row r="201">
          <cell r="A201" t="str">
            <v>34200 - Pézènes les Mines</v>
          </cell>
        </row>
        <row r="202">
          <cell r="A202" t="str">
            <v>34201 - Pierrerue</v>
          </cell>
        </row>
        <row r="203">
          <cell r="A203" t="str">
            <v>34202 - Pignan</v>
          </cell>
          <cell r="CD203">
            <v>2</v>
          </cell>
        </row>
        <row r="204">
          <cell r="A204" t="str">
            <v>34203 - Pinet</v>
          </cell>
        </row>
        <row r="205">
          <cell r="A205" t="str">
            <v>34204 - Plaissan</v>
          </cell>
        </row>
        <row r="206">
          <cell r="A206" t="str">
            <v>34205 - Les Plans</v>
          </cell>
        </row>
        <row r="207">
          <cell r="A207" t="str">
            <v>34206 - Poilhes</v>
          </cell>
        </row>
        <row r="208">
          <cell r="A208" t="str">
            <v>34207 - Pomérols</v>
          </cell>
        </row>
        <row r="209">
          <cell r="A209" t="str">
            <v>34208 - Popian</v>
          </cell>
        </row>
        <row r="210">
          <cell r="A210" t="str">
            <v>34209 - Portiragnes</v>
          </cell>
        </row>
        <row r="211">
          <cell r="A211" t="str">
            <v>34210 - Le Pouget</v>
          </cell>
        </row>
        <row r="212">
          <cell r="A212" t="str">
            <v>34211 - Le Poujol sur Orb</v>
          </cell>
        </row>
        <row r="213">
          <cell r="A213" t="str">
            <v>34212 - Poujols</v>
          </cell>
        </row>
        <row r="214">
          <cell r="A214" t="str">
            <v>34213 - Poussan</v>
          </cell>
        </row>
        <row r="215">
          <cell r="A215" t="str">
            <v>34214 - Pouzolles</v>
          </cell>
        </row>
        <row r="216">
          <cell r="A216" t="str">
            <v>34215 - Pouzols</v>
          </cell>
        </row>
        <row r="217">
          <cell r="A217" t="str">
            <v>34216 - Le Pradal</v>
          </cell>
        </row>
        <row r="218">
          <cell r="A218" t="str">
            <v>34217 - Prades-le-Lez</v>
          </cell>
          <cell r="CD218">
            <v>1</v>
          </cell>
        </row>
        <row r="219">
          <cell r="A219" t="str">
            <v>34218 - Prades-sur-Vernazobre</v>
          </cell>
        </row>
        <row r="220">
          <cell r="A220" t="str">
            <v>34219 - Prémian</v>
          </cell>
        </row>
        <row r="221">
          <cell r="A221" t="str">
            <v>34220 - Le Puech</v>
          </cell>
        </row>
        <row r="222">
          <cell r="A222" t="str">
            <v>34221 - Puéchabon</v>
          </cell>
        </row>
        <row r="223">
          <cell r="A223" t="str">
            <v>34222 - Puilacher</v>
          </cell>
        </row>
        <row r="224">
          <cell r="A224" t="str">
            <v>34223 - Puimisson</v>
          </cell>
        </row>
        <row r="225">
          <cell r="A225" t="str">
            <v>34224 - Puissalicon</v>
          </cell>
        </row>
        <row r="226">
          <cell r="A226" t="str">
            <v>34225 - Puisserguier</v>
          </cell>
        </row>
        <row r="227">
          <cell r="A227" t="str">
            <v>34226 - Quarante</v>
          </cell>
        </row>
        <row r="228">
          <cell r="A228" t="str">
            <v>34227 - Restinclières</v>
          </cell>
        </row>
        <row r="229">
          <cell r="A229" t="str">
            <v>34228 - Rieussec</v>
          </cell>
        </row>
        <row r="230">
          <cell r="A230" t="str">
            <v>34229 - Riols</v>
          </cell>
        </row>
        <row r="231">
          <cell r="A231" t="str">
            <v>34230 - Les Rives</v>
          </cell>
        </row>
        <row r="232">
          <cell r="A232" t="str">
            <v>34231 - Romiguières</v>
          </cell>
        </row>
        <row r="233">
          <cell r="A233" t="str">
            <v>34232 - Roquebrun</v>
          </cell>
        </row>
        <row r="234">
          <cell r="A234" t="str">
            <v>34233 - Roqueredonde</v>
          </cell>
        </row>
        <row r="235">
          <cell r="A235" t="str">
            <v>34234 - Roquessels</v>
          </cell>
        </row>
        <row r="236">
          <cell r="A236" t="str">
            <v>34235 - Rosis</v>
          </cell>
        </row>
        <row r="237">
          <cell r="A237" t="str">
            <v>34236 - Rouet</v>
          </cell>
        </row>
        <row r="238">
          <cell r="A238" t="str">
            <v>34237 - Roujan</v>
          </cell>
        </row>
        <row r="239">
          <cell r="A239" t="str">
            <v>34238 - Saint-André-de-Buèges</v>
          </cell>
        </row>
        <row r="240">
          <cell r="A240" t="str">
            <v>34239 - Saint-André-de-Sangonis</v>
          </cell>
        </row>
        <row r="241">
          <cell r="A241" t="str">
            <v>34240 - Saint-Aunès</v>
          </cell>
        </row>
        <row r="242">
          <cell r="A242" t="str">
            <v>34241 - Saint-Bauzille-de-la-Sylve</v>
          </cell>
        </row>
        <row r="243">
          <cell r="A243" t="str">
            <v>34242 - Saint-Bauzille-de-Montmel</v>
          </cell>
        </row>
        <row r="244">
          <cell r="A244" t="str">
            <v>34243 - Saint-Bauzille-de-Putois</v>
          </cell>
        </row>
        <row r="245">
          <cell r="A245" t="str">
            <v>34244 - Saint-Brès</v>
          </cell>
        </row>
        <row r="246">
          <cell r="A246" t="str">
            <v>34245 - Saint-Chinian</v>
          </cell>
        </row>
        <row r="247">
          <cell r="A247" t="str">
            <v>34246 - Saint-Christol</v>
          </cell>
        </row>
        <row r="248">
          <cell r="A248" t="str">
            <v>34247 - Saint-Clément-de-Rivière</v>
          </cell>
        </row>
        <row r="249">
          <cell r="A249" t="str">
            <v>34248 - Sainte-Croix-de-Quintillargues</v>
          </cell>
        </row>
        <row r="250">
          <cell r="A250" t="str">
            <v>34249 - Saint-Drézéry</v>
          </cell>
        </row>
        <row r="251">
          <cell r="A251" t="str">
            <v>34250 - Saint-Etienne-d'Albagnan</v>
          </cell>
        </row>
        <row r="252">
          <cell r="A252" t="str">
            <v>34251 - Saint-Etienne-de-Gourgas</v>
          </cell>
        </row>
        <row r="253">
          <cell r="A253" t="str">
            <v>34252 - Saint-Etienne-Estréchoux</v>
          </cell>
        </row>
        <row r="254">
          <cell r="A254" t="str">
            <v>34253 - Saint-Félix-de-l'Héras</v>
          </cell>
        </row>
        <row r="255">
          <cell r="A255" t="str">
            <v>34254 - Saint-Félix-de-Lodez</v>
          </cell>
        </row>
        <row r="256">
          <cell r="A256" t="str">
            <v>34255 - Saint-Gély-du-Fesc</v>
          </cell>
        </row>
        <row r="257">
          <cell r="A257" t="str">
            <v>34256 - Saint-Geniès-des-Mourgues</v>
          </cell>
        </row>
        <row r="258">
          <cell r="A258" t="str">
            <v>34257 - Saint-Geniès-de-Varensal</v>
          </cell>
        </row>
        <row r="259">
          <cell r="A259" t="str">
            <v>34258 - Saint-Geniès-de-Fontedit</v>
          </cell>
        </row>
        <row r="260">
          <cell r="A260" t="str">
            <v>34259 - Saint-Georges-d'Orques</v>
          </cell>
        </row>
        <row r="261">
          <cell r="A261" t="str">
            <v>34260 - Saint-Gervais-sur-Mare</v>
          </cell>
        </row>
        <row r="262">
          <cell r="A262" t="str">
            <v>34261 - Saint-Guilhem-le-Désert</v>
          </cell>
        </row>
        <row r="263">
          <cell r="A263" t="str">
            <v>34262 - Saint-Guiraud</v>
          </cell>
        </row>
        <row r="264">
          <cell r="A264" t="str">
            <v>34263 - Saint-Hilaire-de-Beauvoir</v>
          </cell>
        </row>
        <row r="265">
          <cell r="A265" t="str">
            <v>34264 - Saint-Jean-de-Buèges</v>
          </cell>
        </row>
        <row r="266">
          <cell r="A266" t="str">
            <v>34265 - Saint-Jean-de-Cornies</v>
          </cell>
        </row>
        <row r="267">
          <cell r="A267" t="str">
            <v>34266 - Saint-Jean-de-Cuculles</v>
          </cell>
        </row>
        <row r="268">
          <cell r="A268" t="str">
            <v>34267 - Saint-Jean-de-Fos</v>
          </cell>
        </row>
        <row r="269">
          <cell r="A269" t="str">
            <v>34268 - Saint-Jean-de-la-Blaquière</v>
          </cell>
        </row>
        <row r="270">
          <cell r="A270" t="str">
            <v>34269 - Saint-Jean-de-Minervois</v>
          </cell>
        </row>
        <row r="271">
          <cell r="A271" t="str">
            <v>34270 - Saint-Jean-de-Védas</v>
          </cell>
          <cell r="CD271">
            <v>3</v>
          </cell>
        </row>
        <row r="272">
          <cell r="A272" t="str">
            <v>34271 - Saint-Julien</v>
          </cell>
        </row>
        <row r="273">
          <cell r="A273" t="str">
            <v>34272 - Saint-Just</v>
          </cell>
        </row>
        <row r="274">
          <cell r="A274" t="str">
            <v>34273 - Saint-Martin-de-l'Arçon</v>
          </cell>
        </row>
        <row r="275">
          <cell r="A275" t="str">
            <v>34274 - Saint-Martin-de-Londres</v>
          </cell>
        </row>
        <row r="276">
          <cell r="A276" t="str">
            <v>34276 - Saint-Mathieu-de-Tréviers</v>
          </cell>
        </row>
        <row r="277">
          <cell r="A277" t="str">
            <v>34277 - Saint-Maurice-Navacelles</v>
          </cell>
        </row>
        <row r="278">
          <cell r="A278" t="str">
            <v>34278 - Saint-Michel</v>
          </cell>
        </row>
        <row r="279">
          <cell r="A279" t="str">
            <v>34279 - Saint-Nazaire-de-Ladarez</v>
          </cell>
        </row>
        <row r="280">
          <cell r="A280" t="str">
            <v>34280 - Saint-Nazaire-de-Pézan</v>
          </cell>
        </row>
        <row r="281">
          <cell r="A281" t="str">
            <v>34281 - Saint-Pargoire</v>
          </cell>
        </row>
        <row r="282">
          <cell r="A282" t="str">
            <v>34282 - Saint-Paul-et-Valmalle</v>
          </cell>
        </row>
        <row r="283">
          <cell r="A283" t="str">
            <v>34283 - Saint-Pierre-de-la-Fage</v>
          </cell>
        </row>
        <row r="284">
          <cell r="A284" t="str">
            <v>34284 - Saint-Pons-de-Thomières</v>
          </cell>
        </row>
        <row r="285">
          <cell r="A285" t="str">
            <v>34285 - Saint-Pons-de-Mauchiens</v>
          </cell>
        </row>
        <row r="286">
          <cell r="A286" t="str">
            <v>34286 - Saint-Privat</v>
          </cell>
        </row>
        <row r="287">
          <cell r="A287" t="str">
            <v>34287 - Saint-Saturnin-de-Lucian</v>
          </cell>
        </row>
        <row r="288">
          <cell r="A288" t="str">
            <v>34288 - Saint-Sériès</v>
          </cell>
        </row>
        <row r="289">
          <cell r="A289" t="str">
            <v>34289 - Saint-Thibéry</v>
          </cell>
        </row>
        <row r="290">
          <cell r="A290" t="str">
            <v>34290 - Saint-Vincent-de-Barbeyrargues</v>
          </cell>
        </row>
        <row r="291">
          <cell r="A291" t="str">
            <v>34291 - Saint-Vincent-d'Olargues</v>
          </cell>
        </row>
        <row r="292">
          <cell r="A292" t="str">
            <v>34292 - Salasc</v>
          </cell>
        </row>
        <row r="293">
          <cell r="A293" t="str">
            <v>34293 - La Salvetat-sur-Agout</v>
          </cell>
        </row>
        <row r="294">
          <cell r="A294" t="str">
            <v>34294 - Saturargues</v>
          </cell>
        </row>
        <row r="295">
          <cell r="A295" t="str">
            <v>34295 - Saussan</v>
          </cell>
        </row>
        <row r="296">
          <cell r="A296" t="str">
            <v>34296 - Saussines</v>
          </cell>
        </row>
        <row r="297">
          <cell r="A297" t="str">
            <v>34297 - Sauteyrargues</v>
          </cell>
        </row>
        <row r="298">
          <cell r="A298" t="str">
            <v>34298 - Sauvian</v>
          </cell>
        </row>
        <row r="299">
          <cell r="A299" t="str">
            <v>34299 - Sérignan</v>
          </cell>
        </row>
        <row r="300">
          <cell r="A300" t="str">
            <v>34300 - Servian</v>
          </cell>
        </row>
        <row r="301">
          <cell r="A301" t="str">
            <v>34301 - Sète</v>
          </cell>
          <cell r="CD301">
            <v>2</v>
          </cell>
        </row>
        <row r="302">
          <cell r="A302" t="str">
            <v>34302 - Siran</v>
          </cell>
        </row>
        <row r="303">
          <cell r="A303" t="str">
            <v>34303 - Sorbs</v>
          </cell>
        </row>
        <row r="304">
          <cell r="A304" t="str">
            <v>34304 - Soubès</v>
          </cell>
        </row>
        <row r="305">
          <cell r="A305" t="str">
            <v>34305 - Le Soulié</v>
          </cell>
        </row>
        <row r="306">
          <cell r="A306" t="str">
            <v>34306 - Soumont</v>
          </cell>
        </row>
        <row r="307">
          <cell r="A307" t="str">
            <v>34307 - Sussargues</v>
          </cell>
        </row>
        <row r="308">
          <cell r="A308" t="str">
            <v>34308 - Taussac-la-Billière</v>
          </cell>
        </row>
        <row r="309">
          <cell r="A309" t="str">
            <v>34309 - Teyran</v>
          </cell>
          <cell r="CD309">
            <v>2</v>
          </cell>
        </row>
        <row r="310">
          <cell r="A310" t="str">
            <v>34310 - Thézan-lès-Béziers</v>
          </cell>
        </row>
        <row r="311">
          <cell r="A311" t="str">
            <v>34311 - Tourbes</v>
          </cell>
        </row>
        <row r="312">
          <cell r="A312" t="str">
            <v>34312 - La Tour-sur-Orb</v>
          </cell>
          <cell r="CD312">
            <v>1</v>
          </cell>
        </row>
        <row r="313">
          <cell r="A313" t="str">
            <v>34313 - Tressan</v>
          </cell>
        </row>
        <row r="314">
          <cell r="A314" t="str">
            <v>34314 - Le Triadou</v>
          </cell>
        </row>
        <row r="315">
          <cell r="A315" t="str">
            <v>34315 - Usclas-d'Hérault</v>
          </cell>
        </row>
        <row r="316">
          <cell r="A316" t="str">
            <v>34316 - Usclas-du-Bosc</v>
          </cell>
        </row>
        <row r="317">
          <cell r="A317" t="str">
            <v>34317 - La Vacquerie-et-Saint-Martin-de-Castries</v>
          </cell>
        </row>
        <row r="318">
          <cell r="A318" t="str">
            <v>34318 - Vacquières</v>
          </cell>
        </row>
        <row r="319">
          <cell r="A319" t="str">
            <v>34319 - Vailhan</v>
          </cell>
        </row>
        <row r="320">
          <cell r="A320" t="str">
            <v>34320 - Vailhauquès</v>
          </cell>
        </row>
        <row r="321">
          <cell r="A321" t="str">
            <v>34321 - Valergues</v>
          </cell>
          <cell r="CD321">
            <v>1</v>
          </cell>
        </row>
        <row r="322">
          <cell r="A322" t="str">
            <v>34322 - Valflaunès</v>
          </cell>
        </row>
        <row r="323">
          <cell r="A323" t="str">
            <v>34323 - Valmascle</v>
          </cell>
        </row>
        <row r="324">
          <cell r="A324" t="str">
            <v>34324 - Valras-Plage</v>
          </cell>
        </row>
        <row r="325">
          <cell r="A325" t="str">
            <v>34325 - Valros</v>
          </cell>
        </row>
        <row r="326">
          <cell r="A326" t="str">
            <v>34326 - Vélieux</v>
          </cell>
        </row>
        <row r="327">
          <cell r="A327" t="str">
            <v>34327 - Vendargues</v>
          </cell>
        </row>
        <row r="328">
          <cell r="A328" t="str">
            <v>34328 - Vendémian</v>
          </cell>
        </row>
        <row r="329">
          <cell r="A329" t="str">
            <v>34329 - Vendres</v>
          </cell>
        </row>
        <row r="330">
          <cell r="A330" t="str">
            <v>34330 - Vérargues</v>
          </cell>
        </row>
        <row r="331">
          <cell r="A331" t="str">
            <v>34331 - Verreries-de-Moussans</v>
          </cell>
        </row>
        <row r="332">
          <cell r="A332" t="str">
            <v>34332 - Vias</v>
          </cell>
        </row>
        <row r="333">
          <cell r="A333" t="str">
            <v>34333 - Vic-la-Gardiole</v>
          </cell>
        </row>
        <row r="334">
          <cell r="A334" t="str">
            <v>34334 - Vieussan</v>
          </cell>
        </row>
        <row r="335">
          <cell r="A335" t="str">
            <v>34335 - Villemagne-l'Argentière</v>
          </cell>
        </row>
        <row r="336">
          <cell r="A336" t="str">
            <v>34336 - Villeneuve-lès-Béziers</v>
          </cell>
        </row>
        <row r="337">
          <cell r="A337" t="str">
            <v>34337 - Villeneuve-lès-Maguelone</v>
          </cell>
          <cell r="CD337">
            <v>1</v>
          </cell>
        </row>
        <row r="338">
          <cell r="A338" t="str">
            <v>34338 - Villeneuvette</v>
          </cell>
        </row>
        <row r="339">
          <cell r="A339" t="str">
            <v>34339 - Villespassans</v>
          </cell>
        </row>
        <row r="340">
          <cell r="A340" t="str">
            <v>34340 - Villetelle</v>
          </cell>
        </row>
        <row r="341">
          <cell r="A341" t="str">
            <v>34341 - Villeveyrac</v>
          </cell>
        </row>
        <row r="342">
          <cell r="A342" t="str">
            <v>34342 - Viols-en-Laval</v>
          </cell>
        </row>
        <row r="343">
          <cell r="A343" t="str">
            <v>34343 - Viols-le-Fort</v>
          </cell>
        </row>
        <row r="344">
          <cell r="A344" t="str">
            <v>34344 - La Grande-Motte</v>
          </cell>
          <cell r="CD344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tabSelected="1" workbookViewId="0">
      <selection activeCell="G26" sqref="G26"/>
    </sheetView>
  </sheetViews>
  <sheetFormatPr baseColWidth="10" defaultRowHeight="12.75" x14ac:dyDescent="0.2"/>
  <cols>
    <col min="1" max="1" width="20.85546875" style="106" customWidth="1"/>
    <col min="2" max="3" width="7.140625" style="106" customWidth="1"/>
    <col min="4" max="4" width="8.5703125" style="106" customWidth="1"/>
    <col min="5" max="5" width="14.28515625" style="106" customWidth="1"/>
    <col min="6" max="6" width="7.5703125" style="106" customWidth="1"/>
    <col min="7" max="7" width="7.140625" style="106" customWidth="1"/>
    <col min="8" max="8" width="6.42578125" style="106" customWidth="1"/>
    <col min="9" max="9" width="15.28515625" style="106" customWidth="1"/>
    <col min="10" max="10" width="6.42578125" style="106" customWidth="1"/>
    <col min="11" max="11" width="7.28515625" style="106" customWidth="1"/>
    <col min="12" max="12" width="6.85546875" style="106" customWidth="1"/>
    <col min="13" max="13" width="20.42578125" style="106" customWidth="1"/>
    <col min="14" max="15" width="10.5703125" style="106" customWidth="1"/>
    <col min="16" max="16" width="7.42578125" style="106" customWidth="1"/>
    <col min="17" max="17" width="11.5703125" style="106" customWidth="1"/>
    <col min="18" max="19" width="7.7109375" style="106" customWidth="1"/>
    <col min="20" max="21" width="10.5703125" style="106" customWidth="1"/>
    <col min="22" max="16384" width="11.42578125" style="106"/>
  </cols>
  <sheetData>
    <row r="1" spans="1:21" ht="15" x14ac:dyDescent="0.25">
      <c r="A1" s="99" t="s">
        <v>168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</row>
    <row r="2" spans="1:21" ht="21" x14ac:dyDescent="0.35">
      <c r="A2" s="107" t="str">
        <f>A1</f>
        <v>CC Lodévois et Larzac</v>
      </c>
      <c r="B2" s="107">
        <f t="shared" ref="B2:K2" si="0">LOOKUP($A$1,N5libcomDem,Dmotif_Assistante_maternelle)</f>
        <v>1</v>
      </c>
      <c r="C2" s="107">
        <f t="shared" si="0"/>
        <v>1</v>
      </c>
      <c r="D2" s="107">
        <f t="shared" si="0"/>
        <v>1</v>
      </c>
      <c r="E2" s="107">
        <f t="shared" si="0"/>
        <v>1</v>
      </c>
      <c r="F2" s="107">
        <f t="shared" si="0"/>
        <v>1</v>
      </c>
      <c r="G2" s="107">
        <f t="shared" si="0"/>
        <v>1</v>
      </c>
      <c r="H2" s="107">
        <f t="shared" si="0"/>
        <v>1</v>
      </c>
      <c r="I2" s="107">
        <f t="shared" si="0"/>
        <v>1</v>
      </c>
      <c r="J2" s="107">
        <f t="shared" si="0"/>
        <v>1</v>
      </c>
      <c r="K2" s="107">
        <f t="shared" si="0"/>
        <v>1</v>
      </c>
      <c r="L2" s="108"/>
      <c r="M2" s="107" t="str">
        <f>A2</f>
        <v>CC Lodévois et Larzac</v>
      </c>
      <c r="N2" s="107"/>
      <c r="O2" s="107"/>
      <c r="P2" s="107"/>
      <c r="Q2" s="107"/>
      <c r="R2" s="107"/>
      <c r="S2" s="107"/>
      <c r="T2" s="107"/>
      <c r="U2" s="107"/>
    </row>
    <row r="3" spans="1:21" ht="18.75" x14ac:dyDescent="0.3">
      <c r="A3" s="109" t="s">
        <v>257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10"/>
      <c r="M3" s="109" t="str">
        <f>A3</f>
        <v>Demande HLM adressée au territoire au 31 décembre 2020</v>
      </c>
      <c r="N3" s="109"/>
      <c r="O3" s="109"/>
      <c r="P3" s="109"/>
      <c r="Q3" s="109"/>
      <c r="R3" s="109"/>
      <c r="S3" s="109"/>
      <c r="T3" s="109"/>
      <c r="U3" s="109"/>
    </row>
    <row r="4" spans="1:21" ht="18.75" x14ac:dyDescent="0.3">
      <c r="A4" s="109" t="s">
        <v>269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10"/>
      <c r="M4" s="109" t="s">
        <v>304</v>
      </c>
      <c r="N4" s="109"/>
      <c r="O4" s="109"/>
      <c r="P4" s="109"/>
      <c r="Q4" s="109"/>
      <c r="R4" s="109"/>
      <c r="S4" s="109"/>
      <c r="T4" s="109"/>
      <c r="U4" s="109"/>
    </row>
    <row r="5" spans="1:21" ht="18.75" x14ac:dyDescent="0.3">
      <c r="A5" s="111" t="s">
        <v>201</v>
      </c>
      <c r="B5" s="112"/>
      <c r="C5" s="113"/>
      <c r="D5" s="110"/>
      <c r="E5" s="111" t="s">
        <v>202</v>
      </c>
      <c r="F5" s="112"/>
      <c r="G5" s="113"/>
      <c r="H5" s="110"/>
      <c r="I5" s="111" t="s">
        <v>203</v>
      </c>
      <c r="J5" s="112"/>
      <c r="K5" s="113"/>
      <c r="L5" s="110"/>
      <c r="M5" s="111" t="s">
        <v>204</v>
      </c>
      <c r="N5" s="112"/>
      <c r="O5" s="112"/>
      <c r="P5" s="112"/>
      <c r="Q5" s="112"/>
      <c r="R5" s="112"/>
      <c r="S5" s="112"/>
      <c r="T5" s="112"/>
      <c r="U5" s="113"/>
    </row>
    <row r="6" spans="1:21" x14ac:dyDescent="0.2">
      <c r="A6" s="114"/>
      <c r="B6" s="115"/>
      <c r="C6" s="116"/>
      <c r="D6" s="110"/>
      <c r="E6" s="114"/>
      <c r="F6" s="115"/>
      <c r="G6" s="116"/>
      <c r="H6" s="110"/>
      <c r="I6" s="114"/>
      <c r="J6" s="115"/>
      <c r="K6" s="116"/>
      <c r="L6" s="110"/>
      <c r="M6" s="117"/>
      <c r="N6" s="118"/>
      <c r="O6" s="118"/>
      <c r="P6" s="118"/>
      <c r="Q6" s="118"/>
      <c r="R6" s="118"/>
      <c r="S6" s="118"/>
      <c r="T6" s="118"/>
      <c r="U6" s="119"/>
    </row>
    <row r="7" spans="1:21" x14ac:dyDescent="0.2">
      <c r="A7" s="120" t="s">
        <v>115</v>
      </c>
      <c r="B7" s="121">
        <f>VLOOKUP($A$1,Motif_demande!$B:$AF,3,0)</f>
        <v>0</v>
      </c>
      <c r="C7" s="122">
        <f t="shared" ref="C7:C33" si="1">B7/$B$35</f>
        <v>0</v>
      </c>
      <c r="D7" s="110"/>
      <c r="E7" s="120" t="s">
        <v>71</v>
      </c>
      <c r="F7" s="123">
        <f>VLOOKUP($A$1,Situ_familiale!$B:$AF,3,0)</f>
        <v>7</v>
      </c>
      <c r="G7" s="122">
        <f>F7/$F$16</f>
        <v>0.3888888888888889</v>
      </c>
      <c r="H7" s="110"/>
      <c r="I7" s="120" t="s">
        <v>58</v>
      </c>
      <c r="J7" s="123">
        <f>VLOOKUP($A$1,Statut_prof!$B:$AF,5,0)</f>
        <v>0</v>
      </c>
      <c r="K7" s="122">
        <f>J7/$J$17</f>
        <v>0</v>
      </c>
      <c r="M7" s="120"/>
      <c r="N7" s="124" t="s">
        <v>205</v>
      </c>
      <c r="O7" s="124"/>
      <c r="P7" s="124"/>
      <c r="Q7" s="124"/>
      <c r="R7" s="124"/>
      <c r="S7" s="124"/>
      <c r="T7" s="124"/>
      <c r="U7" s="125"/>
    </row>
    <row r="8" spans="1:21" x14ac:dyDescent="0.2">
      <c r="A8" s="120" t="s">
        <v>117</v>
      </c>
      <c r="B8" s="121">
        <f>VLOOKUP($A$1,Motif_demande!$B:$AF,5,0)</f>
        <v>0</v>
      </c>
      <c r="C8" s="122">
        <f t="shared" si="1"/>
        <v>0</v>
      </c>
      <c r="D8" s="110"/>
      <c r="E8" s="120" t="s">
        <v>72</v>
      </c>
      <c r="F8" s="123">
        <f>VLOOKUP($A$1,Situ_familiale!$B:$AF,4,0)</f>
        <v>3</v>
      </c>
      <c r="G8" s="122">
        <f t="shared" ref="G8:G14" si="2">F8/$F$16</f>
        <v>0.16666666666666666</v>
      </c>
      <c r="H8" s="110"/>
      <c r="I8" s="120" t="s">
        <v>206</v>
      </c>
      <c r="J8" s="123">
        <f>VLOOKUP($A$1,Statut_prof!$B:$AF,6,0)</f>
        <v>0</v>
      </c>
      <c r="K8" s="122">
        <f t="shared" ref="K8:K15" si="3">J8/$J$17</f>
        <v>0</v>
      </c>
      <c r="M8" s="120"/>
      <c r="N8" s="126" t="s">
        <v>207</v>
      </c>
      <c r="O8" s="126">
        <v>1</v>
      </c>
      <c r="P8" s="126">
        <v>2</v>
      </c>
      <c r="Q8" s="126">
        <v>3</v>
      </c>
      <c r="R8" s="126">
        <v>4</v>
      </c>
      <c r="S8" s="126">
        <v>5</v>
      </c>
      <c r="T8" s="126" t="s">
        <v>208</v>
      </c>
      <c r="U8" s="127" t="s">
        <v>209</v>
      </c>
    </row>
    <row r="9" spans="1:21" x14ac:dyDescent="0.2">
      <c r="A9" s="120" t="s">
        <v>118</v>
      </c>
      <c r="B9" s="121">
        <f>VLOOKUP($A$1,Motif_demande!$B:$AF,6,0)</f>
        <v>0</v>
      </c>
      <c r="C9" s="122">
        <f t="shared" si="1"/>
        <v>0</v>
      </c>
      <c r="D9" s="110"/>
      <c r="E9" s="120" t="s">
        <v>73</v>
      </c>
      <c r="F9" s="123">
        <f>VLOOKUP($A$1,Situ_familiale!$B:$AF,5,0)</f>
        <v>3</v>
      </c>
      <c r="G9" s="122">
        <f t="shared" si="2"/>
        <v>0.16666666666666666</v>
      </c>
      <c r="H9" s="110"/>
      <c r="I9" s="120" t="s">
        <v>61</v>
      </c>
      <c r="J9" s="123">
        <f>VLOOKUP($A$1,Statut_prof!$B:$AF,8,0)+VLOOKUP($A$1,Statut_prof!$B:$AF,9,0)</f>
        <v>9</v>
      </c>
      <c r="K9" s="122">
        <f t="shared" si="3"/>
        <v>0.5</v>
      </c>
      <c r="M9" s="120" t="s">
        <v>210</v>
      </c>
      <c r="N9" s="123">
        <f>VLOOKUP($A$1,Compo_famille!$B:$AF,3,0)</f>
        <v>0</v>
      </c>
      <c r="O9" s="123">
        <f>VLOOKUP($A$1,Compo_famille!$B:$AF,4,0)</f>
        <v>2</v>
      </c>
      <c r="P9" s="123">
        <f>VLOOKUP($A$1,Compo_famille!$B:$AF,5,0)</f>
        <v>1</v>
      </c>
      <c r="Q9" s="123">
        <f>VLOOKUP($A$1,Compo_famille!$B:$AF,6,0)</f>
        <v>2</v>
      </c>
      <c r="R9" s="123">
        <f>VLOOKUP($A$1,Compo_famille!$B:$AF,7,0)</f>
        <v>1</v>
      </c>
      <c r="S9" s="123">
        <f>VLOOKUP($A$1,Compo_famille!$B:$AF,8,0)</f>
        <v>1</v>
      </c>
      <c r="T9" s="123">
        <f>VLOOKUP($A$1,Compo_famille!$B:$AF,9,0)</f>
        <v>0</v>
      </c>
      <c r="U9" s="128">
        <f>SUM(N9:T9)</f>
        <v>7</v>
      </c>
    </row>
    <row r="10" spans="1:21" x14ac:dyDescent="0.2">
      <c r="A10" s="120" t="s">
        <v>119</v>
      </c>
      <c r="B10" s="121">
        <f>VLOOKUP($A$1,Motif_demande!$B:$AF,7,0)</f>
        <v>1</v>
      </c>
      <c r="C10" s="122">
        <f t="shared" si="1"/>
        <v>5.5555555555555552E-2</v>
      </c>
      <c r="D10" s="110"/>
      <c r="E10" s="120" t="s">
        <v>74</v>
      </c>
      <c r="F10" s="123">
        <f>VLOOKUP($A$1,Situ_familiale!$B:$AF,7,0)</f>
        <v>4</v>
      </c>
      <c r="G10" s="122">
        <f t="shared" si="2"/>
        <v>0.22222222222222221</v>
      </c>
      <c r="H10" s="110"/>
      <c r="I10" s="120" t="s">
        <v>211</v>
      </c>
      <c r="J10" s="123">
        <f>VLOOKUP($A$1,Statut_prof!$B:$AF,10,0)</f>
        <v>4</v>
      </c>
      <c r="K10" s="122">
        <f t="shared" si="3"/>
        <v>0.22222222222222221</v>
      </c>
      <c r="M10" s="120" t="s">
        <v>212</v>
      </c>
      <c r="N10" s="123">
        <f>VLOOKUP($A$1,Compo_famille!$B:$AF,10,0)</f>
        <v>2</v>
      </c>
      <c r="O10" s="123">
        <f>VLOOKUP($A$1,Compo_famille!$B:$AF,11,0)</f>
        <v>4</v>
      </c>
      <c r="P10" s="123">
        <f>VLOOKUP($A$1,Compo_famille!$B:$AF,12,0)</f>
        <v>3</v>
      </c>
      <c r="Q10" s="123">
        <f>VLOOKUP($A$1,Compo_famille!$B:$AF,13,0)</f>
        <v>2</v>
      </c>
      <c r="R10" s="123">
        <f>VLOOKUP($A$1,Compo_famille!$B:$AF,14,0)</f>
        <v>0</v>
      </c>
      <c r="S10" s="123">
        <f>VLOOKUP($A$1,Compo_famille!$B:$AF,15,0)</f>
        <v>0</v>
      </c>
      <c r="T10" s="123">
        <f>VLOOKUP($A$1,Compo_famille!$B:$AF,16,0)</f>
        <v>0</v>
      </c>
      <c r="U10" s="128">
        <f>SUM(N10:T10)</f>
        <v>11</v>
      </c>
    </row>
    <row r="11" spans="1:21" x14ac:dyDescent="0.2">
      <c r="A11" s="120" t="s">
        <v>121</v>
      </c>
      <c r="B11" s="121">
        <f>VLOOKUP($A$1,Motif_demande!$B:$AF,9,0)</f>
        <v>0</v>
      </c>
      <c r="C11" s="122">
        <f t="shared" si="1"/>
        <v>0</v>
      </c>
      <c r="D11" s="110"/>
      <c r="E11" s="120" t="s">
        <v>75</v>
      </c>
      <c r="F11" s="123">
        <f>VLOOKUP($A$1,Situ_familiale!$B:$AF,9,0)</f>
        <v>0</v>
      </c>
      <c r="G11" s="122">
        <f t="shared" si="2"/>
        <v>0</v>
      </c>
      <c r="H11" s="110"/>
      <c r="I11" s="120" t="s">
        <v>213</v>
      </c>
      <c r="J11" s="123">
        <f>VLOOKUP($A$1,Statut_prof!$B:$AF,4,0)+VLOOKUP($A$1,Statut_prof!$B:$AF,11,0)+VLOOKUP($A$1,Statut_prof!$B:$AF,19,0)</f>
        <v>5</v>
      </c>
      <c r="K11" s="122">
        <f t="shared" si="3"/>
        <v>0.27777777777777779</v>
      </c>
      <c r="M11" s="120" t="s">
        <v>214</v>
      </c>
      <c r="N11" s="129"/>
      <c r="O11" s="129"/>
      <c r="P11" s="129"/>
      <c r="Q11" s="129"/>
      <c r="R11" s="129"/>
      <c r="S11" s="129"/>
      <c r="T11" s="129"/>
      <c r="U11" s="130">
        <v>0</v>
      </c>
    </row>
    <row r="12" spans="1:21" x14ac:dyDescent="0.2">
      <c r="A12" s="120" t="s">
        <v>215</v>
      </c>
      <c r="B12" s="121">
        <f>VLOOKUP($A$1,Motif_demande!$B:$AF,10,0)</f>
        <v>0</v>
      </c>
      <c r="C12" s="122">
        <f t="shared" si="1"/>
        <v>0</v>
      </c>
      <c r="D12" s="110"/>
      <c r="E12" s="120" t="s">
        <v>76</v>
      </c>
      <c r="F12" s="123">
        <f>VLOOKUP($A$1,Situ_familiale!$B:$AF,11,0)</f>
        <v>0</v>
      </c>
      <c r="G12" s="122">
        <f t="shared" si="2"/>
        <v>0</v>
      </c>
      <c r="H12" s="110"/>
      <c r="I12" s="120" t="s">
        <v>66</v>
      </c>
      <c r="J12" s="123">
        <f>VLOOKUP($A$1,Statut_prof!$B:$AF,13,0)</f>
        <v>0</v>
      </c>
      <c r="K12" s="122">
        <f t="shared" si="3"/>
        <v>0</v>
      </c>
      <c r="M12" s="120"/>
      <c r="N12" s="129"/>
      <c r="O12" s="129"/>
      <c r="P12" s="129"/>
      <c r="Q12" s="129"/>
      <c r="R12" s="129"/>
      <c r="S12" s="129"/>
      <c r="T12" s="129"/>
      <c r="U12" s="131"/>
    </row>
    <row r="13" spans="1:21" x14ac:dyDescent="0.2">
      <c r="A13" s="120" t="s">
        <v>127</v>
      </c>
      <c r="B13" s="121">
        <f>VLOOKUP($A$1,Motif_demande!$B:$AF,16,0)</f>
        <v>1</v>
      </c>
      <c r="C13" s="122">
        <f t="shared" si="1"/>
        <v>5.5555555555555552E-2</v>
      </c>
      <c r="D13" s="110"/>
      <c r="E13" s="120" t="s">
        <v>77</v>
      </c>
      <c r="F13" s="123">
        <f>VLOOKUP($A$1,Situ_familiale!$B:$AF,12,0)</f>
        <v>1</v>
      </c>
      <c r="G13" s="122">
        <f t="shared" si="2"/>
        <v>5.5555555555555552E-2</v>
      </c>
      <c r="H13" s="110"/>
      <c r="I13" s="120" t="s">
        <v>67</v>
      </c>
      <c r="J13" s="123">
        <f>VLOOKUP($A$1,Statut_prof!$B:$AF,15,0)+VLOOKUP($A$1,Statut_prof!$B:$AF,14,0)</f>
        <v>0</v>
      </c>
      <c r="K13" s="122">
        <f t="shared" si="3"/>
        <v>0</v>
      </c>
      <c r="M13" s="120" t="s">
        <v>209</v>
      </c>
      <c r="N13" s="132">
        <f>N9+N10</f>
        <v>2</v>
      </c>
      <c r="O13" s="132">
        <f t="shared" ref="O13:T13" si="4">O9+O10</f>
        <v>6</v>
      </c>
      <c r="P13" s="132">
        <f t="shared" si="4"/>
        <v>4</v>
      </c>
      <c r="Q13" s="132">
        <f t="shared" si="4"/>
        <v>4</v>
      </c>
      <c r="R13" s="132">
        <f t="shared" si="4"/>
        <v>1</v>
      </c>
      <c r="S13" s="132">
        <f t="shared" si="4"/>
        <v>1</v>
      </c>
      <c r="T13" s="132">
        <f t="shared" si="4"/>
        <v>0</v>
      </c>
      <c r="U13" s="133">
        <f>SUM(U9:U11)</f>
        <v>18</v>
      </c>
    </row>
    <row r="14" spans="1:21" x14ac:dyDescent="0.2">
      <c r="A14" s="120" t="s">
        <v>126</v>
      </c>
      <c r="B14" s="121">
        <f>VLOOKUP($A$1,Motif_demande!$B:$AF,15,0)</f>
        <v>1</v>
      </c>
      <c r="C14" s="122">
        <f t="shared" si="1"/>
        <v>5.5555555555555552E-2</v>
      </c>
      <c r="D14" s="110"/>
      <c r="E14" s="120" t="s">
        <v>214</v>
      </c>
      <c r="F14" s="123">
        <f>VLOOKUP($A$1,Situ_familiale!$B:$AF,6,0)+VLOOKUP($A$1,Situ_familiale!$B:$AF,8,0)+VLOOKUP($A$1,Situ_familiale!$B:$AF,10,0)</f>
        <v>0</v>
      </c>
      <c r="G14" s="122">
        <f t="shared" si="2"/>
        <v>0</v>
      </c>
      <c r="H14" s="110"/>
      <c r="I14" s="120" t="s">
        <v>69</v>
      </c>
      <c r="J14" s="123">
        <f>VLOOKUP($A$1,Statut_prof!$B:$AF,18,0)</f>
        <v>0</v>
      </c>
      <c r="K14" s="122">
        <f t="shared" si="3"/>
        <v>0</v>
      </c>
      <c r="M14" s="120"/>
      <c r="N14" s="134"/>
      <c r="O14" s="134"/>
      <c r="P14" s="134"/>
      <c r="Q14" s="134"/>
      <c r="R14" s="134"/>
      <c r="S14" s="134"/>
      <c r="T14" s="134"/>
      <c r="U14" s="135"/>
    </row>
    <row r="15" spans="1:21" x14ac:dyDescent="0.2">
      <c r="A15" s="120" t="s">
        <v>216</v>
      </c>
      <c r="B15" s="121">
        <v>0</v>
      </c>
      <c r="C15" s="122">
        <f t="shared" si="1"/>
        <v>0</v>
      </c>
      <c r="D15" s="110"/>
      <c r="E15" s="120"/>
      <c r="F15" s="129"/>
      <c r="G15" s="136"/>
      <c r="H15" s="110"/>
      <c r="I15" s="120" t="s">
        <v>214</v>
      </c>
      <c r="J15" s="123">
        <v>0</v>
      </c>
      <c r="K15" s="122">
        <f t="shared" si="3"/>
        <v>0</v>
      </c>
      <c r="M15" s="120"/>
      <c r="N15" s="126" t="s">
        <v>207</v>
      </c>
      <c r="O15" s="126">
        <v>1</v>
      </c>
      <c r="P15" s="126">
        <v>2</v>
      </c>
      <c r="Q15" s="126">
        <v>3</v>
      </c>
      <c r="R15" s="126">
        <v>4</v>
      </c>
      <c r="S15" s="126">
        <v>5</v>
      </c>
      <c r="T15" s="126" t="s">
        <v>208</v>
      </c>
      <c r="U15" s="127" t="s">
        <v>209</v>
      </c>
    </row>
    <row r="16" spans="1:21" x14ac:dyDescent="0.2">
      <c r="A16" s="120" t="s">
        <v>128</v>
      </c>
      <c r="B16" s="121">
        <f>VLOOKUP($A$1,Motif_demande!$B:$AF,17,0)</f>
        <v>0</v>
      </c>
      <c r="C16" s="122">
        <f t="shared" si="1"/>
        <v>0</v>
      </c>
      <c r="D16" s="110"/>
      <c r="E16" s="137"/>
      <c r="F16" s="138">
        <f>SUM(F7:F14)</f>
        <v>18</v>
      </c>
      <c r="G16" s="139">
        <f>SUM(G7:G14)</f>
        <v>1</v>
      </c>
      <c r="H16" s="110"/>
      <c r="I16" s="120"/>
      <c r="J16" s="129"/>
      <c r="K16" s="136"/>
      <c r="L16" s="110"/>
      <c r="M16" s="120" t="s">
        <v>210</v>
      </c>
      <c r="N16" s="140">
        <f>N9/$U$13</f>
        <v>0</v>
      </c>
      <c r="O16" s="140">
        <f t="shared" ref="O16:U17" si="5">O9/$U$13</f>
        <v>0.1111111111111111</v>
      </c>
      <c r="P16" s="140">
        <f t="shared" si="5"/>
        <v>5.5555555555555552E-2</v>
      </c>
      <c r="Q16" s="140">
        <f t="shared" si="5"/>
        <v>0.1111111111111111</v>
      </c>
      <c r="R16" s="140">
        <f t="shared" si="5"/>
        <v>5.5555555555555552E-2</v>
      </c>
      <c r="S16" s="140">
        <f t="shared" si="5"/>
        <v>5.5555555555555552E-2</v>
      </c>
      <c r="T16" s="140">
        <f t="shared" si="5"/>
        <v>0</v>
      </c>
      <c r="U16" s="141">
        <f>U9/$U$13</f>
        <v>0.3888888888888889</v>
      </c>
    </row>
    <row r="17" spans="1:21" x14ac:dyDescent="0.2">
      <c r="A17" s="120" t="s">
        <v>129</v>
      </c>
      <c r="B17" s="121">
        <f>VLOOKUP($A$1,Motif_demande!$B:$AF,18,0)</f>
        <v>5</v>
      </c>
      <c r="C17" s="122">
        <f t="shared" si="1"/>
        <v>0.27777777777777779</v>
      </c>
      <c r="D17" s="110"/>
      <c r="E17" s="110"/>
      <c r="F17" s="142"/>
      <c r="G17" s="110"/>
      <c r="H17" s="110"/>
      <c r="I17" s="137"/>
      <c r="J17" s="138">
        <f>SUM(J7:J15)</f>
        <v>18</v>
      </c>
      <c r="K17" s="139">
        <f>SUM(K7:K15)</f>
        <v>1</v>
      </c>
      <c r="L17" s="110"/>
      <c r="M17" s="120" t="s">
        <v>212</v>
      </c>
      <c r="N17" s="140">
        <f>N10/$U$13</f>
        <v>0.1111111111111111</v>
      </c>
      <c r="O17" s="140">
        <f t="shared" si="5"/>
        <v>0.22222222222222221</v>
      </c>
      <c r="P17" s="140">
        <f t="shared" si="5"/>
        <v>0.16666666666666666</v>
      </c>
      <c r="Q17" s="140">
        <f t="shared" si="5"/>
        <v>0.1111111111111111</v>
      </c>
      <c r="R17" s="140">
        <f t="shared" si="5"/>
        <v>0</v>
      </c>
      <c r="S17" s="140">
        <f t="shared" si="5"/>
        <v>0</v>
      </c>
      <c r="T17" s="140">
        <f t="shared" si="5"/>
        <v>0</v>
      </c>
      <c r="U17" s="141">
        <f t="shared" si="5"/>
        <v>0.61111111111111116</v>
      </c>
    </row>
    <row r="18" spans="1:21" x14ac:dyDescent="0.2">
      <c r="A18" s="120" t="s">
        <v>130</v>
      </c>
      <c r="B18" s="121">
        <f>VLOOKUP($A$1,Motif_demande!$B:$AF,19,0)</f>
        <v>0</v>
      </c>
      <c r="C18" s="122">
        <f t="shared" si="1"/>
        <v>0</v>
      </c>
      <c r="D18" s="110"/>
      <c r="E18" s="110"/>
      <c r="F18" s="110"/>
      <c r="G18" s="110"/>
      <c r="H18" s="110"/>
      <c r="I18" s="110"/>
      <c r="J18" s="110"/>
      <c r="K18" s="110"/>
      <c r="L18" s="110"/>
      <c r="M18" s="120"/>
      <c r="N18" s="143"/>
      <c r="O18" s="143"/>
      <c r="P18" s="143"/>
      <c r="Q18" s="143"/>
      <c r="R18" s="143"/>
      <c r="S18" s="143"/>
      <c r="T18" s="143"/>
      <c r="U18" s="136"/>
    </row>
    <row r="19" spans="1:21" ht="18.75" x14ac:dyDescent="0.3">
      <c r="A19" s="120" t="s">
        <v>131</v>
      </c>
      <c r="B19" s="121">
        <f>VLOOKUP($A$1,Motif_demande!$B:$AF,20,0)</f>
        <v>4</v>
      </c>
      <c r="C19" s="122">
        <f t="shared" si="1"/>
        <v>0.22222222222222221</v>
      </c>
      <c r="D19" s="110"/>
      <c r="E19" s="111" t="s">
        <v>217</v>
      </c>
      <c r="F19" s="112"/>
      <c r="G19" s="113"/>
      <c r="H19" s="110"/>
      <c r="I19" s="111" t="s">
        <v>218</v>
      </c>
      <c r="J19" s="112"/>
      <c r="K19" s="113"/>
      <c r="L19" s="110"/>
      <c r="M19" s="144"/>
      <c r="N19" s="145">
        <f t="shared" ref="N19:T19" si="6">N13/$U$13</f>
        <v>0.1111111111111111</v>
      </c>
      <c r="O19" s="145">
        <f t="shared" si="6"/>
        <v>0.33333333333333331</v>
      </c>
      <c r="P19" s="145">
        <f t="shared" si="6"/>
        <v>0.22222222222222221</v>
      </c>
      <c r="Q19" s="145">
        <f t="shared" si="6"/>
        <v>0.22222222222222221</v>
      </c>
      <c r="R19" s="145">
        <f t="shared" si="6"/>
        <v>5.5555555555555552E-2</v>
      </c>
      <c r="S19" s="145">
        <f t="shared" si="6"/>
        <v>5.5555555555555552E-2</v>
      </c>
      <c r="T19" s="145">
        <f t="shared" si="6"/>
        <v>0</v>
      </c>
      <c r="U19" s="146">
        <f>SUM(U13/U13)</f>
        <v>1</v>
      </c>
    </row>
    <row r="20" spans="1:21" x14ac:dyDescent="0.2">
      <c r="A20" s="120" t="s">
        <v>132</v>
      </c>
      <c r="B20" s="121">
        <f>VLOOKUP($A$1,Motif_demande!$B:$AF,21,0)</f>
        <v>0</v>
      </c>
      <c r="C20" s="122">
        <f t="shared" si="1"/>
        <v>0</v>
      </c>
      <c r="D20" s="110"/>
      <c r="E20" s="114"/>
      <c r="F20" s="115"/>
      <c r="G20" s="116"/>
      <c r="H20" s="110"/>
      <c r="I20" s="114"/>
      <c r="J20" s="115"/>
      <c r="K20" s="116"/>
      <c r="L20" s="110"/>
      <c r="M20" s="110"/>
      <c r="N20" s="110"/>
      <c r="O20" s="110"/>
      <c r="P20" s="110"/>
      <c r="Q20" s="110"/>
      <c r="R20" s="110"/>
      <c r="S20" s="110"/>
      <c r="T20" s="110"/>
      <c r="U20" s="110"/>
    </row>
    <row r="21" spans="1:21" ht="18.75" x14ac:dyDescent="0.3">
      <c r="A21" s="120" t="s">
        <v>219</v>
      </c>
      <c r="B21" s="121">
        <f>VLOOKUP($A$1,Motif_demande!$B:$AF,23,0)</f>
        <v>0</v>
      </c>
      <c r="C21" s="122">
        <f t="shared" si="1"/>
        <v>0</v>
      </c>
      <c r="D21" s="110"/>
      <c r="E21" s="147">
        <v>0</v>
      </c>
      <c r="F21" s="123">
        <f>VLOOKUP($A$1,RevenuMens_menage!$B:$S,4,0)</f>
        <v>0</v>
      </c>
      <c r="G21" s="122">
        <f>F21/$F$36</f>
        <v>0</v>
      </c>
      <c r="I21" s="147">
        <v>0</v>
      </c>
      <c r="J21" s="123">
        <f>VLOOKUP($A$1,Revenu_UC!$B:$S,4,0)</f>
        <v>0</v>
      </c>
      <c r="K21" s="122">
        <f t="shared" ref="K21:K33" si="7">J21/$J$36</f>
        <v>0</v>
      </c>
      <c r="M21" s="111" t="s">
        <v>271</v>
      </c>
      <c r="N21" s="112"/>
      <c r="O21" s="113"/>
      <c r="P21" s="110"/>
      <c r="Q21" s="111" t="s">
        <v>303</v>
      </c>
      <c r="R21" s="112"/>
      <c r="S21" s="113"/>
      <c r="T21" s="110"/>
      <c r="U21" s="110"/>
    </row>
    <row r="22" spans="1:21" x14ac:dyDescent="0.2">
      <c r="A22" s="120" t="s">
        <v>134</v>
      </c>
      <c r="B22" s="121">
        <f>VLOOKUP($A$1,Motif_demande!$B:$AF,24,0)+VLOOKUP($A$1,Motif_demande!$B:$AF,8,0)</f>
        <v>0</v>
      </c>
      <c r="C22" s="122">
        <f t="shared" si="1"/>
        <v>0</v>
      </c>
      <c r="D22" s="110"/>
      <c r="E22" s="120" t="s">
        <v>80</v>
      </c>
      <c r="F22" s="123">
        <f>VLOOKUP($A$1,RevenuMens_menage!$B:$S,5,0)</f>
        <v>1</v>
      </c>
      <c r="G22" s="122">
        <f t="shared" ref="G22:G33" si="8">F22/$F$36</f>
        <v>5.5555555555555552E-2</v>
      </c>
      <c r="I22" s="120" t="s">
        <v>80</v>
      </c>
      <c r="J22" s="123">
        <f>VLOOKUP($A$1,Revenu_UC!$B:$S,5,0)</f>
        <v>7</v>
      </c>
      <c r="K22" s="122">
        <f t="shared" si="7"/>
        <v>0.3888888888888889</v>
      </c>
      <c r="M22" s="114"/>
      <c r="N22" s="115"/>
      <c r="O22" s="116"/>
      <c r="P22" s="110"/>
      <c r="Q22" s="114"/>
      <c r="R22" s="115"/>
      <c r="S22" s="116"/>
      <c r="T22" s="110"/>
      <c r="U22" s="110"/>
    </row>
    <row r="23" spans="1:21" x14ac:dyDescent="0.2">
      <c r="A23" s="120" t="s">
        <v>135</v>
      </c>
      <c r="B23" s="121">
        <f>VLOOKUP($A$1,Motif_demande!$B:$AF,25,0)</f>
        <v>0</v>
      </c>
      <c r="C23" s="122">
        <f t="shared" si="1"/>
        <v>0</v>
      </c>
      <c r="D23" s="110"/>
      <c r="E23" s="120" t="s">
        <v>81</v>
      </c>
      <c r="F23" s="123">
        <f>VLOOKUP($A$1,RevenuMens_menage!$B:$S,6,0)</f>
        <v>8</v>
      </c>
      <c r="G23" s="122">
        <f t="shared" si="8"/>
        <v>0.44444444444444442</v>
      </c>
      <c r="I23" s="120" t="s">
        <v>81</v>
      </c>
      <c r="J23" s="123">
        <f>VLOOKUP($A$1,Revenu_UC!$B:$S,6,0)</f>
        <v>8</v>
      </c>
      <c r="K23" s="122">
        <f t="shared" si="7"/>
        <v>0.44444444444444442</v>
      </c>
      <c r="M23" s="148" t="s">
        <v>221</v>
      </c>
      <c r="N23" s="123">
        <f>VLOOKUP($A$1,Logt_actuel!$B:$S,3,0)</f>
        <v>0</v>
      </c>
      <c r="O23" s="122">
        <f t="shared" ref="O23:O42" si="9">N23/$N$44</f>
        <v>0</v>
      </c>
      <c r="Q23" s="120" t="s">
        <v>258</v>
      </c>
      <c r="R23" s="123">
        <f>VLOOKUP($A$1,Typologie!$B:$S,3,0)</f>
        <v>0</v>
      </c>
      <c r="S23" s="122">
        <f t="shared" ref="S23:S28" si="10">R23/$R$30</f>
        <v>0</v>
      </c>
      <c r="T23" s="110"/>
      <c r="U23" s="110"/>
    </row>
    <row r="24" spans="1:21" x14ac:dyDescent="0.2">
      <c r="A24" s="120" t="s">
        <v>136</v>
      </c>
      <c r="B24" s="121">
        <f>VLOOKUP($A$1,Motif_demande!$B:$AF,26,0)</f>
        <v>1</v>
      </c>
      <c r="C24" s="122">
        <f t="shared" si="1"/>
        <v>5.5555555555555552E-2</v>
      </c>
      <c r="D24" s="110"/>
      <c r="E24" s="120" t="s">
        <v>82</v>
      </c>
      <c r="F24" s="123">
        <f>VLOOKUP($A$1,RevenuMens_menage!$B:$S,7,0)</f>
        <v>4</v>
      </c>
      <c r="G24" s="122">
        <f t="shared" si="8"/>
        <v>0.22222222222222221</v>
      </c>
      <c r="I24" s="120" t="s">
        <v>82</v>
      </c>
      <c r="J24" s="123">
        <f>VLOOKUP($A$1,Revenu_UC!$B:$S,7,0)</f>
        <v>1</v>
      </c>
      <c r="K24" s="122">
        <f t="shared" si="7"/>
        <v>5.5555555555555552E-2</v>
      </c>
      <c r="M24" s="148" t="s">
        <v>101</v>
      </c>
      <c r="N24" s="123">
        <f>VLOOKUP($A$1,Logt_actuel!$B:$S,8,0)</f>
        <v>0</v>
      </c>
      <c r="O24" s="122">
        <f t="shared" si="9"/>
        <v>0</v>
      </c>
      <c r="Q24" s="120" t="s">
        <v>151</v>
      </c>
      <c r="R24" s="123">
        <f>VLOOKUP($A$1,Typologie!$B:$S,4,0)</f>
        <v>1</v>
      </c>
      <c r="S24" s="122">
        <f t="shared" si="10"/>
        <v>5.5555555555555552E-2</v>
      </c>
      <c r="T24" s="110"/>
      <c r="U24" s="110"/>
    </row>
    <row r="25" spans="1:21" x14ac:dyDescent="0.2">
      <c r="A25" s="120" t="s">
        <v>224</v>
      </c>
      <c r="B25" s="121">
        <f>VLOOKUP($A$1,Motif_demande!$B:$AF,12,0)</f>
        <v>0</v>
      </c>
      <c r="C25" s="122">
        <f t="shared" si="1"/>
        <v>0</v>
      </c>
      <c r="D25" s="110"/>
      <c r="E25" s="120" t="s">
        <v>83</v>
      </c>
      <c r="F25" s="123">
        <f>VLOOKUP($A$1,RevenuMens_menage!$B:$S,8,0)</f>
        <v>1</v>
      </c>
      <c r="G25" s="122">
        <f t="shared" si="8"/>
        <v>5.5555555555555552E-2</v>
      </c>
      <c r="I25" s="120" t="s">
        <v>83</v>
      </c>
      <c r="J25" s="123">
        <f>VLOOKUP($A$1,Revenu_UC!$B:$S,8,0)</f>
        <v>1</v>
      </c>
      <c r="K25" s="122">
        <f t="shared" si="7"/>
        <v>5.5555555555555552E-2</v>
      </c>
      <c r="M25" s="148" t="s">
        <v>97</v>
      </c>
      <c r="N25" s="123">
        <f>VLOOKUP($A$1,Logt_actuel!$B:$S,4,0)</f>
        <v>0</v>
      </c>
      <c r="O25" s="122">
        <f t="shared" si="9"/>
        <v>0</v>
      </c>
      <c r="Q25" s="120" t="s">
        <v>152</v>
      </c>
      <c r="R25" s="123">
        <f>VLOOKUP($A$1,Typologie!$B:$S,5,0)</f>
        <v>5</v>
      </c>
      <c r="S25" s="122">
        <f t="shared" si="10"/>
        <v>0.27777777777777779</v>
      </c>
      <c r="T25" s="110"/>
      <c r="U25" s="110"/>
    </row>
    <row r="26" spans="1:21" x14ac:dyDescent="0.2">
      <c r="A26" s="120" t="s">
        <v>226</v>
      </c>
      <c r="B26" s="121">
        <f>VLOOKUP($A$1,Motif_demande!$B:$AF,13,0)</f>
        <v>1</v>
      </c>
      <c r="C26" s="122">
        <f t="shared" si="1"/>
        <v>5.5555555555555552E-2</v>
      </c>
      <c r="D26" s="110"/>
      <c r="E26" s="120" t="s">
        <v>84</v>
      </c>
      <c r="F26" s="123">
        <f>VLOOKUP($A$1,RevenuMens_menage!$B:$S,9,0)</f>
        <v>2</v>
      </c>
      <c r="G26" s="122">
        <f t="shared" si="8"/>
        <v>0.1111111111111111</v>
      </c>
      <c r="I26" s="120" t="s">
        <v>84</v>
      </c>
      <c r="J26" s="123">
        <f>VLOOKUP($A$1,Revenu_UC!$B:$S,9,0)</f>
        <v>1</v>
      </c>
      <c r="K26" s="122">
        <f t="shared" si="7"/>
        <v>5.5555555555555552E-2</v>
      </c>
      <c r="M26" s="148" t="s">
        <v>98</v>
      </c>
      <c r="N26" s="123">
        <f>VLOOKUP($A$1,Logt_actuel!$B:$S,5,0)</f>
        <v>1</v>
      </c>
      <c r="O26" s="122">
        <f t="shared" si="9"/>
        <v>5.5555555555555552E-2</v>
      </c>
      <c r="Q26" s="120" t="s">
        <v>153</v>
      </c>
      <c r="R26" s="123">
        <f>VLOOKUP($A$1,Typologie!$B:$S,6,0)</f>
        <v>8</v>
      </c>
      <c r="S26" s="122">
        <f t="shared" si="10"/>
        <v>0.44444444444444442</v>
      </c>
      <c r="T26" s="110"/>
      <c r="U26" s="110"/>
    </row>
    <row r="27" spans="1:21" x14ac:dyDescent="0.2">
      <c r="A27" s="120" t="s">
        <v>227</v>
      </c>
      <c r="B27" s="121">
        <f>VLOOKUP($A$1,Motif_demande!$B:$AF,14,0)</f>
        <v>0</v>
      </c>
      <c r="C27" s="122">
        <f t="shared" si="1"/>
        <v>0</v>
      </c>
      <c r="D27" s="110"/>
      <c r="E27" s="120" t="s">
        <v>85</v>
      </c>
      <c r="F27" s="123">
        <f>VLOOKUP($A$1,RevenuMens_menage!$B:$S,10,0)</f>
        <v>0</v>
      </c>
      <c r="G27" s="122">
        <f t="shared" si="8"/>
        <v>0</v>
      </c>
      <c r="I27" s="120" t="s">
        <v>85</v>
      </c>
      <c r="J27" s="123">
        <f>VLOOKUP($A$1,Revenu_UC!$B:$S,10,0)</f>
        <v>0</v>
      </c>
      <c r="K27" s="122">
        <f t="shared" si="7"/>
        <v>0</v>
      </c>
      <c r="M27" s="148" t="s">
        <v>99</v>
      </c>
      <c r="N27" s="123">
        <f>VLOOKUP($A$1,Logt_actuel!$B:$S,6,0)</f>
        <v>0</v>
      </c>
      <c r="O27" s="122">
        <f t="shared" si="9"/>
        <v>0</v>
      </c>
      <c r="Q27" s="120" t="s">
        <v>154</v>
      </c>
      <c r="R27" s="123">
        <f>VLOOKUP($A$1,Typologie!$B:$S,7,0)</f>
        <v>3</v>
      </c>
      <c r="S27" s="122">
        <f t="shared" si="10"/>
        <v>0.16666666666666666</v>
      </c>
      <c r="T27" s="110"/>
      <c r="U27" s="110"/>
    </row>
    <row r="28" spans="1:21" x14ac:dyDescent="0.2">
      <c r="A28" s="120" t="s">
        <v>137</v>
      </c>
      <c r="B28" s="121">
        <f>VLOOKUP($A$1,Motif_demande!$B:$AF,27,0)</f>
        <v>0</v>
      </c>
      <c r="C28" s="122">
        <f t="shared" si="1"/>
        <v>0</v>
      </c>
      <c r="D28" s="110"/>
      <c r="E28" s="120" t="s">
        <v>86</v>
      </c>
      <c r="F28" s="123">
        <f>VLOOKUP($A$1,RevenuMens_menage!$B:$S,11,0)</f>
        <v>0</v>
      </c>
      <c r="G28" s="122">
        <f t="shared" si="8"/>
        <v>0</v>
      </c>
      <c r="I28" s="120" t="s">
        <v>86</v>
      </c>
      <c r="J28" s="123">
        <f>VLOOKUP($A$1,Revenu_UC!$B:$S,11,0)</f>
        <v>0</v>
      </c>
      <c r="K28" s="122">
        <f t="shared" si="7"/>
        <v>0</v>
      </c>
      <c r="M28" s="148" t="s">
        <v>102</v>
      </c>
      <c r="N28" s="123">
        <f>VLOOKUP($A$1,Logt_actuel!$B:$S,9,0)</f>
        <v>0</v>
      </c>
      <c r="O28" s="122">
        <f t="shared" si="9"/>
        <v>0</v>
      </c>
      <c r="Q28" s="120" t="s">
        <v>155</v>
      </c>
      <c r="R28" s="123">
        <f>VLOOKUP($A$1,Typologie!$B:$S,8,0)</f>
        <v>1</v>
      </c>
      <c r="S28" s="122">
        <f t="shared" si="10"/>
        <v>5.5555555555555552E-2</v>
      </c>
      <c r="T28" s="110"/>
      <c r="U28" s="110"/>
    </row>
    <row r="29" spans="1:21" x14ac:dyDescent="0.2">
      <c r="A29" s="120" t="s">
        <v>139</v>
      </c>
      <c r="B29" s="121">
        <f>VLOOKUP($A$1,Motif_demande!$B:$AF,29,0)</f>
        <v>4</v>
      </c>
      <c r="C29" s="122">
        <f t="shared" si="1"/>
        <v>0.22222222222222221</v>
      </c>
      <c r="D29" s="110"/>
      <c r="E29" s="120" t="s">
        <v>87</v>
      </c>
      <c r="F29" s="123">
        <f>VLOOKUP($A$1,RevenuMens_menage!$B:$S,12,0)</f>
        <v>1</v>
      </c>
      <c r="G29" s="122">
        <f t="shared" si="8"/>
        <v>5.5555555555555552E-2</v>
      </c>
      <c r="I29" s="120" t="s">
        <v>87</v>
      </c>
      <c r="J29" s="123">
        <f>VLOOKUP($A$1,Revenu_UC!$B:$S,12,0)</f>
        <v>0</v>
      </c>
      <c r="K29" s="122">
        <f t="shared" si="7"/>
        <v>0</v>
      </c>
      <c r="M29" s="148" t="s">
        <v>229</v>
      </c>
      <c r="N29" s="123">
        <f>VLOOKUP($A$1,Logt_actuel!$B:$S,11,0)</f>
        <v>4</v>
      </c>
      <c r="O29" s="122">
        <f t="shared" si="9"/>
        <v>0.22222222222222221</v>
      </c>
      <c r="Q29" s="120"/>
      <c r="R29" s="129"/>
      <c r="S29" s="136"/>
    </row>
    <row r="30" spans="1:21" x14ac:dyDescent="0.2">
      <c r="A30" s="120" t="s">
        <v>138</v>
      </c>
      <c r="B30" s="121">
        <f>VLOOKUP($A$1,Motif_demande!$B:$AF,28,0)</f>
        <v>0</v>
      </c>
      <c r="C30" s="122">
        <f t="shared" si="1"/>
        <v>0</v>
      </c>
      <c r="D30" s="110"/>
      <c r="E30" s="120" t="s">
        <v>88</v>
      </c>
      <c r="F30" s="123">
        <f>VLOOKUP($A$1,RevenuMens_menage!$B:$S,13,0)</f>
        <v>0</v>
      </c>
      <c r="G30" s="122">
        <f t="shared" si="8"/>
        <v>0</v>
      </c>
      <c r="I30" s="120" t="s">
        <v>88</v>
      </c>
      <c r="J30" s="123">
        <f>VLOOKUP($A$1,Revenu_UC!$B:$S,13,0)</f>
        <v>0</v>
      </c>
      <c r="K30" s="122">
        <f t="shared" si="7"/>
        <v>0</v>
      </c>
      <c r="M30" s="148" t="s">
        <v>231</v>
      </c>
      <c r="N30" s="123">
        <f>VLOOKUP($A$1,Logt_actuel!$B:$S,12,0)</f>
        <v>10</v>
      </c>
      <c r="O30" s="122">
        <f t="shared" si="9"/>
        <v>0.55555555555555558</v>
      </c>
      <c r="Q30" s="144"/>
      <c r="R30" s="138">
        <f>SUM(R23:R28)</f>
        <v>18</v>
      </c>
      <c r="S30" s="139">
        <f>SUM(S23:S28)</f>
        <v>1</v>
      </c>
    </row>
    <row r="31" spans="1:21" x14ac:dyDescent="0.2">
      <c r="A31" s="120" t="s">
        <v>140</v>
      </c>
      <c r="B31" s="121">
        <f>VLOOKUP($A$1,Motif_demande!$B:$AF,31,0)</f>
        <v>0</v>
      </c>
      <c r="C31" s="122">
        <f t="shared" si="1"/>
        <v>0</v>
      </c>
      <c r="D31" s="110"/>
      <c r="E31" s="120" t="s">
        <v>89</v>
      </c>
      <c r="F31" s="123">
        <f>VLOOKUP($A$1,RevenuMens_menage!$B:$S,14,0)</f>
        <v>1</v>
      </c>
      <c r="G31" s="122">
        <f t="shared" si="8"/>
        <v>5.5555555555555552E-2</v>
      </c>
      <c r="I31" s="120" t="s">
        <v>89</v>
      </c>
      <c r="J31" s="123">
        <f>VLOOKUP($A$1,Revenu_UC!$B:$S,14,0)</f>
        <v>0</v>
      </c>
      <c r="K31" s="122">
        <f t="shared" si="7"/>
        <v>0</v>
      </c>
      <c r="M31" s="148" t="s">
        <v>233</v>
      </c>
      <c r="N31" s="123">
        <f>VLOOKUP($A$1,Logt_actuel!$B:$S,13,0)</f>
        <v>0</v>
      </c>
      <c r="O31" s="122">
        <f t="shared" si="9"/>
        <v>0</v>
      </c>
    </row>
    <row r="32" spans="1:21" ht="18.75" x14ac:dyDescent="0.3">
      <c r="A32" s="120" t="s">
        <v>116</v>
      </c>
      <c r="B32" s="121">
        <f>VLOOKUP($A$1,Motif_demande!$B:$AF,4,0)</f>
        <v>0</v>
      </c>
      <c r="C32" s="122">
        <f t="shared" si="1"/>
        <v>0</v>
      </c>
      <c r="D32" s="110"/>
      <c r="E32" s="120" t="s">
        <v>235</v>
      </c>
      <c r="F32" s="123">
        <f>VLOOKUP($A$1,RevenuMens_menage!$B:$S,15,0)</f>
        <v>0</v>
      </c>
      <c r="G32" s="122">
        <f t="shared" si="8"/>
        <v>0</v>
      </c>
      <c r="I32" s="120" t="s">
        <v>235</v>
      </c>
      <c r="J32" s="123">
        <f>VLOOKUP($A$1,Revenu_UC!$B:$S,15,0)</f>
        <v>0</v>
      </c>
      <c r="K32" s="122">
        <f t="shared" si="7"/>
        <v>0</v>
      </c>
      <c r="M32" s="148" t="s">
        <v>106</v>
      </c>
      <c r="N32" s="123">
        <f>VLOOKUP($A$1,Logt_actuel!$B:$S,14,0)</f>
        <v>0</v>
      </c>
      <c r="O32" s="122">
        <f t="shared" si="9"/>
        <v>0</v>
      </c>
      <c r="Q32" s="111" t="s">
        <v>259</v>
      </c>
      <c r="R32" s="112"/>
      <c r="S32" s="113"/>
    </row>
    <row r="33" spans="1:19" x14ac:dyDescent="0.2">
      <c r="A33" s="120" t="s">
        <v>214</v>
      </c>
      <c r="B33" s="121">
        <f>VLOOKUP($A$1,Motif_demande!$B:$AF,30,0)+VLOOKUP($A$1,Motif_demande!$B:$AF,22,0)</f>
        <v>0</v>
      </c>
      <c r="C33" s="122">
        <f t="shared" si="1"/>
        <v>0</v>
      </c>
      <c r="D33" s="110"/>
      <c r="E33" s="120" t="s">
        <v>214</v>
      </c>
      <c r="F33" s="123">
        <f>VLOOKUP($A$1,RevenuMens_menage!$B:$S,17,0)</f>
        <v>0</v>
      </c>
      <c r="G33" s="122">
        <f t="shared" si="8"/>
        <v>0</v>
      </c>
      <c r="I33" s="120" t="s">
        <v>214</v>
      </c>
      <c r="J33" s="123">
        <f>VLOOKUP($A$1,Revenu_UC!$B:$S,18,0)</f>
        <v>0</v>
      </c>
      <c r="K33" s="122">
        <f t="shared" si="7"/>
        <v>0</v>
      </c>
      <c r="M33" s="148" t="s">
        <v>108</v>
      </c>
      <c r="N33" s="123">
        <f>VLOOKUP($A$1,Logt_actuel!$B:$S,17,0)</f>
        <v>0</v>
      </c>
      <c r="O33" s="122">
        <f t="shared" si="9"/>
        <v>0</v>
      </c>
      <c r="Q33" s="114" t="s">
        <v>142</v>
      </c>
      <c r="R33" s="123">
        <f>VLOOKUP($A$1,Grp_Revenu!$B:$S,3,0)</f>
        <v>7</v>
      </c>
      <c r="S33" s="122">
        <f>R33/$R$42</f>
        <v>0.3888888888888889</v>
      </c>
    </row>
    <row r="34" spans="1:19" x14ac:dyDescent="0.2">
      <c r="A34" s="120"/>
      <c r="B34" s="129"/>
      <c r="C34" s="149"/>
      <c r="D34" s="110"/>
      <c r="E34" s="120"/>
      <c r="F34" s="129"/>
      <c r="G34" s="150"/>
      <c r="H34" s="110"/>
      <c r="I34" s="120"/>
      <c r="J34" s="129"/>
      <c r="K34" s="150"/>
      <c r="L34" s="110"/>
      <c r="M34" s="148" t="s">
        <v>109</v>
      </c>
      <c r="N34" s="123">
        <f>VLOOKUP($A$1,Logt_actuel!$B:$S,18,0)</f>
        <v>0</v>
      </c>
      <c r="O34" s="122">
        <f t="shared" si="9"/>
        <v>0</v>
      </c>
      <c r="Q34" s="148" t="s">
        <v>261</v>
      </c>
      <c r="R34" s="123">
        <f>VLOOKUP($A$1,Grp_Revenu!$B:$S,4,0)</f>
        <v>0</v>
      </c>
      <c r="S34" s="122">
        <f t="shared" ref="S34:S40" si="11">R34/$R$42</f>
        <v>0</v>
      </c>
    </row>
    <row r="35" spans="1:19" x14ac:dyDescent="0.2">
      <c r="A35" s="144"/>
      <c r="B35" s="138">
        <f>SUM(B7:B33)</f>
        <v>18</v>
      </c>
      <c r="C35" s="139">
        <f>SUM(C7:C33)</f>
        <v>1</v>
      </c>
      <c r="D35" s="151"/>
      <c r="E35" s="152" t="s">
        <v>239</v>
      </c>
      <c r="F35" s="153">
        <f>VLOOKUP($A$1,RevenuMens_menage!$B:$S,3,0)</f>
        <v>1424.1111111111111</v>
      </c>
      <c r="G35" s="136"/>
      <c r="H35" s="110"/>
      <c r="I35" s="152" t="s">
        <v>239</v>
      </c>
      <c r="J35" s="154">
        <f>VLOOKUP($A$1,Revenu_UC!$B:$S,3,0)</f>
        <v>731.88888888888891</v>
      </c>
      <c r="K35" s="155"/>
      <c r="L35" s="110"/>
      <c r="M35" s="148" t="s">
        <v>110</v>
      </c>
      <c r="N35" s="123">
        <f>VLOOKUP($A$1,Logt_actuel!$B:$Y,19,0)</f>
        <v>0</v>
      </c>
      <c r="O35" s="122">
        <f t="shared" si="9"/>
        <v>0</v>
      </c>
      <c r="Q35" s="148" t="s">
        <v>144</v>
      </c>
      <c r="R35" s="123">
        <f>VLOOKUP($A$1,Grp_Revenu!$B:$S,5,0)</f>
        <v>8</v>
      </c>
      <c r="S35" s="122">
        <f t="shared" si="11"/>
        <v>0.44444444444444442</v>
      </c>
    </row>
    <row r="36" spans="1:19" x14ac:dyDescent="0.2">
      <c r="B36" s="156"/>
      <c r="D36" s="151"/>
      <c r="E36" s="144"/>
      <c r="F36" s="138">
        <f>SUM(F21:F33)</f>
        <v>18</v>
      </c>
      <c r="G36" s="139">
        <f>SUM(G21:G33)</f>
        <v>1</v>
      </c>
      <c r="H36" s="110"/>
      <c r="I36" s="144"/>
      <c r="J36" s="138">
        <f>SUM(J21:J33)</f>
        <v>18</v>
      </c>
      <c r="K36" s="139">
        <f>SUM(K21:K33)</f>
        <v>1</v>
      </c>
      <c r="L36" s="110"/>
      <c r="M36" s="148" t="s">
        <v>111</v>
      </c>
      <c r="N36" s="123">
        <f>VLOOKUP($A$1,Logt_actuel!$B:$Y,20,0)</f>
        <v>0</v>
      </c>
      <c r="O36" s="122">
        <f t="shared" si="9"/>
        <v>0</v>
      </c>
      <c r="Q36" s="148" t="s">
        <v>145</v>
      </c>
      <c r="R36" s="123">
        <f>VLOOKUP($A$1,Grp_Revenu!$B:$S,6,0)</f>
        <v>0</v>
      </c>
      <c r="S36" s="122">
        <f t="shared" si="11"/>
        <v>0</v>
      </c>
    </row>
    <row r="37" spans="1:19" ht="18.75" x14ac:dyDescent="0.3">
      <c r="A37" s="111" t="s">
        <v>240</v>
      </c>
      <c r="B37" s="112"/>
      <c r="C37" s="113"/>
      <c r="D37" s="151"/>
      <c r="E37" s="110"/>
      <c r="F37" s="110"/>
      <c r="G37" s="110"/>
      <c r="H37" s="110"/>
      <c r="I37" s="110"/>
      <c r="J37" s="110"/>
      <c r="K37" s="110"/>
      <c r="L37" s="110"/>
      <c r="M37" s="148" t="s">
        <v>112</v>
      </c>
      <c r="N37" s="123">
        <f>VLOOKUP($A$1,Logt_actuel!$B:$Y,21,0)</f>
        <v>0</v>
      </c>
      <c r="O37" s="122">
        <f t="shared" si="9"/>
        <v>0</v>
      </c>
      <c r="Q37" s="148" t="s">
        <v>262</v>
      </c>
      <c r="R37" s="123">
        <f>VLOOKUP($A$1,Grp_Revenu!$B:$S,7,0)</f>
        <v>1</v>
      </c>
      <c r="S37" s="122">
        <f t="shared" si="11"/>
        <v>5.5555555555555552E-2</v>
      </c>
    </row>
    <row r="38" spans="1:19" ht="18.75" x14ac:dyDescent="0.3">
      <c r="A38" s="114"/>
      <c r="B38" s="115"/>
      <c r="C38" s="116"/>
      <c r="D38" s="110"/>
      <c r="E38" s="111" t="s">
        <v>243</v>
      </c>
      <c r="F38" s="112"/>
      <c r="G38" s="113"/>
      <c r="H38" s="110"/>
      <c r="I38" s="111" t="s">
        <v>220</v>
      </c>
      <c r="J38" s="112"/>
      <c r="K38" s="113"/>
      <c r="L38" s="110"/>
      <c r="M38" s="157" t="s">
        <v>241</v>
      </c>
      <c r="N38" s="123">
        <f>VLOOKUP($A$1,Logt_actuel!$B:$Y,15,0)</f>
        <v>2</v>
      </c>
      <c r="O38" s="122">
        <f t="shared" si="9"/>
        <v>0.1111111111111111</v>
      </c>
      <c r="Q38" s="148" t="s">
        <v>147</v>
      </c>
      <c r="R38" s="123">
        <f>VLOOKUP($A$1,Grp_Revenu!$B:$S,8,0)</f>
        <v>0</v>
      </c>
      <c r="S38" s="122">
        <f t="shared" si="11"/>
        <v>0</v>
      </c>
    </row>
    <row r="39" spans="1:19" x14ac:dyDescent="0.2">
      <c r="A39" s="120" t="s">
        <v>245</v>
      </c>
      <c r="B39" s="123">
        <f>VLOOKUP($A$1,Ancienneté!$B:$AF,4,0)</f>
        <v>11</v>
      </c>
      <c r="C39" s="158">
        <f t="shared" ref="C39:C45" si="12">B39/B$48</f>
        <v>0.61111111111111116</v>
      </c>
      <c r="D39" s="110"/>
      <c r="E39" s="114"/>
      <c r="F39" s="115"/>
      <c r="G39" s="116"/>
      <c r="H39" s="110"/>
      <c r="I39" s="114"/>
      <c r="J39" s="115"/>
      <c r="K39" s="116"/>
      <c r="L39" s="110"/>
      <c r="M39" s="148" t="s">
        <v>113</v>
      </c>
      <c r="N39" s="123">
        <f>VLOOKUP($A$1,Logt_actuel!$B:$Y,23,0)</f>
        <v>0</v>
      </c>
      <c r="O39" s="122">
        <f t="shared" si="9"/>
        <v>0</v>
      </c>
      <c r="Q39" s="148" t="s">
        <v>148</v>
      </c>
      <c r="R39" s="123">
        <f>VLOOKUP($A$1,Grp_Revenu!$B:$S,9,0)</f>
        <v>2</v>
      </c>
      <c r="S39" s="122">
        <f t="shared" si="11"/>
        <v>0.1111111111111111</v>
      </c>
    </row>
    <row r="40" spans="1:19" x14ac:dyDescent="0.2">
      <c r="A40" s="120" t="s">
        <v>5</v>
      </c>
      <c r="B40" s="123">
        <f>VLOOKUP($A$1,Ancienneté!$B:$AF,5,0)</f>
        <v>3</v>
      </c>
      <c r="C40" s="158">
        <f t="shared" si="12"/>
        <v>0.16666666666666666</v>
      </c>
      <c r="D40" s="110"/>
      <c r="E40" s="120" t="s">
        <v>33</v>
      </c>
      <c r="F40" s="123">
        <f>VLOOKUP($A$1,Taille_menage!$B:$AF,4,0)</f>
        <v>2</v>
      </c>
      <c r="G40" s="122">
        <f t="shared" ref="G40:G47" si="13">F40/$F$50</f>
        <v>0.1111111111111111</v>
      </c>
      <c r="H40" s="110"/>
      <c r="I40" s="120" t="s">
        <v>222</v>
      </c>
      <c r="J40" s="123">
        <f>VLOOKUP($A$1,Age_demandeur!$B:$AF,4,0)</f>
        <v>1</v>
      </c>
      <c r="K40" s="122">
        <f t="shared" ref="K40:K53" si="14">J40/$J$56</f>
        <v>5.5555555555555552E-2</v>
      </c>
      <c r="L40" s="110"/>
      <c r="M40" s="148" t="s">
        <v>246</v>
      </c>
      <c r="N40" s="123">
        <v>0</v>
      </c>
      <c r="O40" s="122">
        <f t="shared" si="9"/>
        <v>0</v>
      </c>
      <c r="Q40" s="148" t="s">
        <v>55</v>
      </c>
      <c r="R40" s="123">
        <f>VLOOKUP($A$1,Grp_Revenu!$B:$S,10,0)</f>
        <v>0</v>
      </c>
      <c r="S40" s="122">
        <f t="shared" si="11"/>
        <v>0</v>
      </c>
    </row>
    <row r="41" spans="1:19" x14ac:dyDescent="0.2">
      <c r="A41" s="120" t="s">
        <v>248</v>
      </c>
      <c r="B41" s="123">
        <f>VLOOKUP($A$1,Ancienneté!$B:$AF,6,0)</f>
        <v>2</v>
      </c>
      <c r="C41" s="158">
        <f t="shared" si="12"/>
        <v>0.1111111111111111</v>
      </c>
      <c r="D41" s="110"/>
      <c r="E41" s="120" t="s">
        <v>34</v>
      </c>
      <c r="F41" s="123">
        <f>VLOOKUP($A$1,Taille_menage!$B:$AF,5,0)</f>
        <v>4</v>
      </c>
      <c r="G41" s="122">
        <f t="shared" si="13"/>
        <v>0.22222222222222221</v>
      </c>
      <c r="H41" s="110"/>
      <c r="I41" s="120" t="s">
        <v>223</v>
      </c>
      <c r="J41" s="123">
        <f>VLOOKUP($A$1,Age_demandeur!$B:$AF,5,0)</f>
        <v>1</v>
      </c>
      <c r="K41" s="122">
        <f t="shared" si="14"/>
        <v>5.5555555555555552E-2</v>
      </c>
      <c r="L41" s="110"/>
      <c r="M41" s="157" t="s">
        <v>114</v>
      </c>
      <c r="N41" s="123">
        <f>VLOOKUP($A$1,Logt_actuel!$B:$Y,24,0)</f>
        <v>1</v>
      </c>
      <c r="O41" s="122">
        <f t="shared" si="9"/>
        <v>5.5555555555555552E-2</v>
      </c>
      <c r="Q41" s="120"/>
      <c r="R41" s="129"/>
      <c r="S41" s="136"/>
    </row>
    <row r="42" spans="1:19" x14ac:dyDescent="0.2">
      <c r="A42" s="120" t="s">
        <v>250</v>
      </c>
      <c r="B42" s="123">
        <f>VLOOKUP($A$1,Ancienneté!$B:$AF,7,0)</f>
        <v>1</v>
      </c>
      <c r="C42" s="158">
        <f t="shared" si="12"/>
        <v>5.5555555555555552E-2</v>
      </c>
      <c r="D42" s="110"/>
      <c r="E42" s="120" t="s">
        <v>35</v>
      </c>
      <c r="F42" s="123">
        <f>VLOOKUP($A$1,Taille_menage!$B:$AF,6,0)</f>
        <v>5</v>
      </c>
      <c r="G42" s="122">
        <f t="shared" si="13"/>
        <v>0.27777777777777779</v>
      </c>
      <c r="H42" s="110"/>
      <c r="I42" s="120" t="s">
        <v>225</v>
      </c>
      <c r="J42" s="123">
        <f>VLOOKUP($A$1,Age_demandeur!$B:$AF,6,0)</f>
        <v>2</v>
      </c>
      <c r="K42" s="122">
        <f t="shared" si="14"/>
        <v>0.1111111111111111</v>
      </c>
      <c r="L42" s="110"/>
      <c r="M42" s="148" t="s">
        <v>214</v>
      </c>
      <c r="N42" s="123">
        <v>0</v>
      </c>
      <c r="O42" s="122">
        <f t="shared" si="9"/>
        <v>0</v>
      </c>
      <c r="Q42" s="144"/>
      <c r="R42" s="138">
        <f>SUM(R33:R40)</f>
        <v>18</v>
      </c>
      <c r="S42" s="139">
        <f>SUM(S33:S40)</f>
        <v>1</v>
      </c>
    </row>
    <row r="43" spans="1:19" x14ac:dyDescent="0.2">
      <c r="A43" s="120" t="s">
        <v>252</v>
      </c>
      <c r="B43" s="123">
        <f>VLOOKUP($A$1,Ancienneté!$B:$AF,8,0)</f>
        <v>1</v>
      </c>
      <c r="C43" s="158">
        <f t="shared" si="12"/>
        <v>5.5555555555555552E-2</v>
      </c>
      <c r="D43" s="110"/>
      <c r="E43" s="120" t="s">
        <v>36</v>
      </c>
      <c r="F43" s="123">
        <f>VLOOKUP($A$1,Taille_menage!$B:$AF,7,0)</f>
        <v>3</v>
      </c>
      <c r="G43" s="122">
        <f t="shared" si="13"/>
        <v>0.16666666666666666</v>
      </c>
      <c r="H43" s="110"/>
      <c r="I43" s="120" t="s">
        <v>16</v>
      </c>
      <c r="J43" s="123">
        <f>VLOOKUP($A$1,Age_demandeur!$B:$AF,7,0)</f>
        <v>4</v>
      </c>
      <c r="K43" s="122">
        <f t="shared" si="14"/>
        <v>0.22222222222222221</v>
      </c>
      <c r="L43" s="110"/>
      <c r="M43" s="120"/>
      <c r="N43" s="129"/>
      <c r="O43" s="136"/>
    </row>
    <row r="44" spans="1:19" ht="15.75" customHeight="1" x14ac:dyDescent="0.3">
      <c r="A44" s="120" t="s">
        <v>9</v>
      </c>
      <c r="B44" s="123">
        <f>VLOOKUP($A$1,Ancienneté!$B:$AF,9,0)</f>
        <v>0</v>
      </c>
      <c r="C44" s="158">
        <f t="shared" si="12"/>
        <v>0</v>
      </c>
      <c r="D44" s="110"/>
      <c r="E44" s="120" t="s">
        <v>37</v>
      </c>
      <c r="F44" s="123">
        <f>VLOOKUP($A$1,Taille_menage!$B:$AF,8,0)</f>
        <v>2</v>
      </c>
      <c r="G44" s="122">
        <f t="shared" si="13"/>
        <v>0.1111111111111111</v>
      </c>
      <c r="H44" s="110"/>
      <c r="I44" s="120" t="s">
        <v>228</v>
      </c>
      <c r="J44" s="123">
        <f>VLOOKUP($A$1,Age_demandeur!$B:$AF,8,0)</f>
        <v>4</v>
      </c>
      <c r="K44" s="122">
        <f t="shared" si="14"/>
        <v>0.22222222222222221</v>
      </c>
      <c r="L44" s="110"/>
      <c r="M44" s="144"/>
      <c r="N44" s="138">
        <f>SUM(N23:N42)</f>
        <v>18</v>
      </c>
      <c r="O44" s="139">
        <f>SUM(O23:O42)</f>
        <v>1</v>
      </c>
      <c r="Q44" s="111" t="s">
        <v>260</v>
      </c>
      <c r="R44" s="112"/>
      <c r="S44" s="113"/>
    </row>
    <row r="45" spans="1:19" x14ac:dyDescent="0.2">
      <c r="A45" s="120" t="s">
        <v>10</v>
      </c>
      <c r="B45" s="123">
        <f>VLOOKUP($A$1,Ancienneté!$B:$AF,10,0)</f>
        <v>0</v>
      </c>
      <c r="C45" s="158">
        <f t="shared" si="12"/>
        <v>0</v>
      </c>
      <c r="D45" s="110"/>
      <c r="E45" s="120" t="s">
        <v>38</v>
      </c>
      <c r="F45" s="123">
        <f>VLOOKUP($A$1,Taille_menage!$B:$AF,9,0)</f>
        <v>1</v>
      </c>
      <c r="G45" s="122">
        <f t="shared" si="13"/>
        <v>5.5555555555555552E-2</v>
      </c>
      <c r="H45" s="110"/>
      <c r="I45" s="120" t="s">
        <v>18</v>
      </c>
      <c r="J45" s="123">
        <f>VLOOKUP($A$1,Age_demandeur!$B:$AF,9,0)</f>
        <v>3</v>
      </c>
      <c r="K45" s="122">
        <f t="shared" si="14"/>
        <v>0.16666666666666666</v>
      </c>
      <c r="L45" s="110"/>
      <c r="M45" s="110"/>
      <c r="N45" s="110"/>
      <c r="O45" s="110"/>
      <c r="P45" s="110"/>
      <c r="Q45" s="148" t="s">
        <v>263</v>
      </c>
      <c r="R45" s="123">
        <f>VLOOKUP($A$1,Type_reservat!$B:$S,3,0)</f>
        <v>6</v>
      </c>
      <c r="S45" s="122">
        <f t="shared" ref="S45:S51" si="15">R45/$J$36</f>
        <v>0.33333333333333331</v>
      </c>
    </row>
    <row r="46" spans="1:19" ht="18.75" x14ac:dyDescent="0.3">
      <c r="A46" s="120"/>
      <c r="B46" s="159"/>
      <c r="C46" s="160"/>
      <c r="D46" s="110"/>
      <c r="E46" s="120" t="s">
        <v>39</v>
      </c>
      <c r="F46" s="123">
        <f>VLOOKUP($A$1,Taille_menage!$B:$AF,10,0)</f>
        <v>1</v>
      </c>
      <c r="G46" s="122">
        <f t="shared" si="13"/>
        <v>5.5555555555555552E-2</v>
      </c>
      <c r="H46" s="110"/>
      <c r="I46" s="120" t="s">
        <v>230</v>
      </c>
      <c r="J46" s="123">
        <f>VLOOKUP($A$1,Age_demandeur!$B:$AF,10,0)</f>
        <v>1</v>
      </c>
      <c r="K46" s="122">
        <f t="shared" si="14"/>
        <v>5.5555555555555552E-2</v>
      </c>
      <c r="L46" s="110"/>
      <c r="M46" s="111" t="s">
        <v>244</v>
      </c>
      <c r="N46" s="112"/>
      <c r="O46" s="113"/>
      <c r="P46" s="110"/>
      <c r="Q46" s="148" t="s">
        <v>267</v>
      </c>
      <c r="R46" s="123">
        <f>VLOOKUP($A$1,Type_reservat!$B:$S,4,0)</f>
        <v>4</v>
      </c>
      <c r="S46" s="122">
        <f t="shared" si="15"/>
        <v>0.22222222222222221</v>
      </c>
    </row>
    <row r="47" spans="1:19" x14ac:dyDescent="0.2">
      <c r="A47" s="161" t="s">
        <v>254</v>
      </c>
      <c r="B47" s="162">
        <f>VLOOKUP($A$1,Ancienneté!$B:$AF,3,0)</f>
        <v>15.503584229390677</v>
      </c>
      <c r="C47" s="163"/>
      <c r="D47" s="110"/>
      <c r="E47" s="120" t="s">
        <v>255</v>
      </c>
      <c r="F47" s="123">
        <f>VLOOKUP($A$1,Taille_menage!$B:$AF,11,0)</f>
        <v>0</v>
      </c>
      <c r="G47" s="122">
        <f t="shared" si="13"/>
        <v>0</v>
      </c>
      <c r="H47" s="110"/>
      <c r="I47" s="120" t="s">
        <v>232</v>
      </c>
      <c r="J47" s="123">
        <f>VLOOKUP($A$1,Age_demandeur!$B:$AF,11,0)</f>
        <v>1</v>
      </c>
      <c r="K47" s="122">
        <f t="shared" si="14"/>
        <v>5.5555555555555552E-2</v>
      </c>
      <c r="L47" s="110"/>
      <c r="M47" s="114"/>
      <c r="N47" s="115"/>
      <c r="O47" s="116"/>
      <c r="P47" s="110"/>
      <c r="Q47" s="148" t="s">
        <v>268</v>
      </c>
      <c r="R47" s="123">
        <f>VLOOKUP($A$1,Type_reservat!$B:$S,5,0)</f>
        <v>1</v>
      </c>
      <c r="S47" s="122">
        <f t="shared" si="15"/>
        <v>5.5555555555555552E-2</v>
      </c>
    </row>
    <row r="48" spans="1:19" ht="15" x14ac:dyDescent="0.25">
      <c r="A48" s="144"/>
      <c r="B48" s="138">
        <f>SUM(B38:B45)</f>
        <v>18</v>
      </c>
      <c r="C48" s="139">
        <f>SUM(C38:C45)</f>
        <v>1</v>
      </c>
      <c r="D48" s="110"/>
      <c r="E48" s="120"/>
      <c r="F48" s="129"/>
      <c r="G48" s="150"/>
      <c r="H48" s="110"/>
      <c r="I48" s="120" t="s">
        <v>234</v>
      </c>
      <c r="J48" s="123">
        <f>VLOOKUP($A$1,Age_demandeur!$B:$AF,12,0)</f>
        <v>0</v>
      </c>
      <c r="K48" s="122">
        <f t="shared" si="14"/>
        <v>0</v>
      </c>
      <c r="L48" s="110"/>
      <c r="M48" s="114" t="s">
        <v>247</v>
      </c>
      <c r="N48" s="123">
        <f>VLOOKUP($A$1,PosPlaf_HLM!$B:$AF,3,0)</f>
        <v>15</v>
      </c>
      <c r="O48" s="164">
        <f>N48/$N$54</f>
        <v>0.83333333333333337</v>
      </c>
      <c r="P48" s="110"/>
      <c r="Q48" s="148" t="s">
        <v>264</v>
      </c>
      <c r="R48" s="123">
        <f>VLOOKUP($A$1,Type_reservat!$B:$S,6,0)</f>
        <v>0</v>
      </c>
      <c r="S48" s="122">
        <f t="shared" si="15"/>
        <v>0</v>
      </c>
    </row>
    <row r="49" spans="1:19" ht="15" x14ac:dyDescent="0.25">
      <c r="D49" s="110"/>
      <c r="E49" s="152" t="s">
        <v>256</v>
      </c>
      <c r="F49" s="165">
        <f>VLOOKUP($A$1,Taille_menage!$B:$AF,3,0)</f>
        <v>3.3333333333333335</v>
      </c>
      <c r="G49" s="166"/>
      <c r="H49" s="110"/>
      <c r="I49" s="120" t="s">
        <v>236</v>
      </c>
      <c r="J49" s="123">
        <f>VLOOKUP($A$1,Age_demandeur!$B:$AF,13,0)</f>
        <v>1</v>
      </c>
      <c r="K49" s="122">
        <f t="shared" si="14"/>
        <v>5.5555555555555552E-2</v>
      </c>
      <c r="L49" s="110"/>
      <c r="M49" s="114" t="s">
        <v>249</v>
      </c>
      <c r="N49" s="123">
        <f>VLOOKUP($A$1,PosPlaf_HLM!$B:$AF,4,0)</f>
        <v>1</v>
      </c>
      <c r="O49" s="164">
        <f>N49/$N$54</f>
        <v>5.5555555555555552E-2</v>
      </c>
      <c r="P49" s="110"/>
      <c r="Q49" s="148" t="s">
        <v>265</v>
      </c>
      <c r="R49" s="123">
        <f>VLOOKUP($A$1,Type_reservat!$B:$S,7,0)</f>
        <v>0</v>
      </c>
      <c r="S49" s="122">
        <f t="shared" si="15"/>
        <v>0</v>
      </c>
    </row>
    <row r="50" spans="1:19" ht="15" x14ac:dyDescent="0.25">
      <c r="A50" s="110"/>
      <c r="B50" s="110"/>
      <c r="C50" s="110"/>
      <c r="D50" s="110"/>
      <c r="E50" s="144"/>
      <c r="F50" s="138">
        <f>SUM(F40:F47)</f>
        <v>18</v>
      </c>
      <c r="G50" s="139">
        <f>SUM(G40:G47)</f>
        <v>1</v>
      </c>
      <c r="H50" s="110"/>
      <c r="I50" s="120" t="s">
        <v>237</v>
      </c>
      <c r="J50" s="123">
        <f>VLOOKUP($A$1,Age_demandeur!$B:$AF,14,0)</f>
        <v>0</v>
      </c>
      <c r="K50" s="122">
        <f t="shared" si="14"/>
        <v>0</v>
      </c>
      <c r="L50" s="110"/>
      <c r="M50" s="114" t="s">
        <v>251</v>
      </c>
      <c r="N50" s="123">
        <f>VLOOKUP($A$1,PosPlaf_HLM!$B:$AF,5,0)</f>
        <v>0</v>
      </c>
      <c r="O50" s="167">
        <f>N50/$N$54</f>
        <v>0</v>
      </c>
      <c r="P50" s="110"/>
      <c r="Q50" s="148" t="s">
        <v>266</v>
      </c>
      <c r="R50" s="123">
        <f>VLOOKUP($A$1,Type_reservat!$B:$S,8,0)</f>
        <v>0</v>
      </c>
      <c r="S50" s="122">
        <f t="shared" si="15"/>
        <v>0</v>
      </c>
    </row>
    <row r="51" spans="1:19" ht="15" x14ac:dyDescent="0.25">
      <c r="A51" s="110"/>
      <c r="B51" s="110"/>
      <c r="C51" s="110"/>
      <c r="D51" s="110"/>
      <c r="H51" s="110"/>
      <c r="I51" s="120" t="s">
        <v>238</v>
      </c>
      <c r="J51" s="123">
        <f>VLOOKUP($A$1,Age_demandeur!$B:$AF,15,0)</f>
        <v>0</v>
      </c>
      <c r="K51" s="122">
        <f t="shared" si="14"/>
        <v>0</v>
      </c>
      <c r="L51" s="110"/>
      <c r="M51" s="114" t="s">
        <v>253</v>
      </c>
      <c r="N51" s="123">
        <f>VLOOKUP($A$1,PosPlaf_HLM!$B:$AF,6,0)</f>
        <v>0</v>
      </c>
      <c r="O51" s="167">
        <f>N51/$N$54</f>
        <v>0</v>
      </c>
      <c r="P51" s="110"/>
      <c r="Q51" s="148" t="s">
        <v>1</v>
      </c>
      <c r="R51" s="123">
        <f>VLOOKUP($A$1,Type_reservat!$B:$S,9,0)</f>
        <v>0</v>
      </c>
      <c r="S51" s="122">
        <f t="shared" si="15"/>
        <v>0</v>
      </c>
    </row>
    <row r="52" spans="1:19" ht="15" x14ac:dyDescent="0.25">
      <c r="I52" s="120" t="s">
        <v>25</v>
      </c>
      <c r="J52" s="123">
        <f>VLOOKUP($A$1,Age_demandeur!$B:$AF,16,0)</f>
        <v>0</v>
      </c>
      <c r="K52" s="122">
        <f t="shared" si="14"/>
        <v>0</v>
      </c>
      <c r="M52" s="114" t="s">
        <v>214</v>
      </c>
      <c r="N52" s="123">
        <f>VLOOKUP($A$1,PosPlaf_HLM!$B:$AF,7,0)</f>
        <v>2</v>
      </c>
      <c r="O52" s="167">
        <f>N52/$N$54</f>
        <v>0.1111111111111111</v>
      </c>
      <c r="Q52" s="148" t="s">
        <v>148</v>
      </c>
      <c r="R52" s="123">
        <f>VLOOKUP($A$1,Type_reservat!$B:$S,12,0)</f>
        <v>0</v>
      </c>
      <c r="S52" s="122">
        <f>R52/$J$36</f>
        <v>0</v>
      </c>
    </row>
    <row r="53" spans="1:19" ht="15" x14ac:dyDescent="0.25">
      <c r="I53" s="120" t="s">
        <v>214</v>
      </c>
      <c r="J53" s="123">
        <v>0</v>
      </c>
      <c r="K53" s="122">
        <f t="shared" si="14"/>
        <v>0</v>
      </c>
      <c r="M53" s="114"/>
      <c r="N53" s="168"/>
      <c r="O53" s="167"/>
      <c r="Q53" s="148" t="s">
        <v>167</v>
      </c>
      <c r="R53" s="123">
        <f>VLOOKUP($A$1,Type_reservat!$B:$S,13,0)</f>
        <v>7</v>
      </c>
      <c r="S53" s="122">
        <f>R53/$J$36</f>
        <v>0.3888888888888889</v>
      </c>
    </row>
    <row r="54" spans="1:19" ht="15" x14ac:dyDescent="0.25">
      <c r="I54" s="120"/>
      <c r="J54" s="129"/>
      <c r="K54" s="150"/>
      <c r="M54" s="169"/>
      <c r="N54" s="170">
        <f>SUM(N48:N52)</f>
        <v>18</v>
      </c>
      <c r="O54" s="171">
        <f>SUM(O48:O52)</f>
        <v>1</v>
      </c>
      <c r="Q54" s="120"/>
      <c r="R54" s="129"/>
      <c r="S54" s="136"/>
    </row>
    <row r="55" spans="1:19" x14ac:dyDescent="0.2">
      <c r="I55" s="152" t="s">
        <v>242</v>
      </c>
      <c r="J55" s="172">
        <f>VLOOKUP($A$1,Age_demandeur!$B:$AF,3,0)</f>
        <v>36</v>
      </c>
      <c r="K55" s="173"/>
      <c r="Q55" s="144"/>
      <c r="R55" s="138">
        <f>SUM(R45:R53)</f>
        <v>18</v>
      </c>
      <c r="S55" s="139">
        <f>SUM(S45:S53)</f>
        <v>1</v>
      </c>
    </row>
    <row r="56" spans="1:19" x14ac:dyDescent="0.2">
      <c r="I56" s="144"/>
      <c r="J56" s="138">
        <f>SUM(J40:J53)</f>
        <v>18</v>
      </c>
      <c r="K56" s="139">
        <f>SUM(K40:K53)</f>
        <v>1</v>
      </c>
    </row>
  </sheetData>
  <sheetProtection sheet="1" objects="1" scenarios="1"/>
  <mergeCells count="26">
    <mergeCell ref="E38:G38"/>
    <mergeCell ref="F49:G49"/>
    <mergeCell ref="B47:C47"/>
    <mergeCell ref="A37:C37"/>
    <mergeCell ref="Q32:S32"/>
    <mergeCell ref="Q44:S44"/>
    <mergeCell ref="J35:K35"/>
    <mergeCell ref="Q21:S21"/>
    <mergeCell ref="M21:O21"/>
    <mergeCell ref="I38:K38"/>
    <mergeCell ref="J55:K55"/>
    <mergeCell ref="M46:O46"/>
    <mergeCell ref="E19:G19"/>
    <mergeCell ref="I19:K19"/>
    <mergeCell ref="A1:U1"/>
    <mergeCell ref="A2:K2"/>
    <mergeCell ref="M2:U2"/>
    <mergeCell ref="A3:K3"/>
    <mergeCell ref="M3:U3"/>
    <mergeCell ref="A4:K4"/>
    <mergeCell ref="M4:U4"/>
    <mergeCell ref="A5:C5"/>
    <mergeCell ref="E5:G5"/>
    <mergeCell ref="I5:K5"/>
    <mergeCell ref="M5:U5"/>
    <mergeCell ref="N7:T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Grp_Revenu!$B$2:$B$18</xm:f>
          </x14:formula1>
          <xm:sqref>A1:U1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opLeftCell="F1" workbookViewId="0">
      <selection activeCell="A2" sqref="A2:O2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3" width="10" customWidth="1"/>
    <col min="4" max="21" width="15.42578125" customWidth="1"/>
  </cols>
  <sheetData>
    <row r="1" spans="1:21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56</v>
      </c>
      <c r="E1" s="2" t="s">
        <v>57</v>
      </c>
      <c r="F1" s="2" t="s">
        <v>58</v>
      </c>
      <c r="G1" s="2" t="s">
        <v>59</v>
      </c>
      <c r="H1" s="2" t="s">
        <v>60</v>
      </c>
      <c r="I1" s="2" t="s">
        <v>61</v>
      </c>
      <c r="J1" s="2" t="s">
        <v>62</v>
      </c>
      <c r="K1" s="2" t="s">
        <v>63</v>
      </c>
      <c r="L1" s="2" t="s">
        <v>64</v>
      </c>
      <c r="M1" s="2" t="s">
        <v>65</v>
      </c>
      <c r="N1" s="2" t="s">
        <v>66</v>
      </c>
      <c r="O1" s="2" t="s">
        <v>67</v>
      </c>
      <c r="P1" s="2" t="s">
        <v>68</v>
      </c>
      <c r="Q1" s="2" t="s">
        <v>11</v>
      </c>
      <c r="R1" s="2" t="s">
        <v>31</v>
      </c>
      <c r="S1" s="2" t="s">
        <v>69</v>
      </c>
      <c r="T1" s="2" t="s">
        <v>70</v>
      </c>
      <c r="U1" s="2" t="s">
        <v>27</v>
      </c>
    </row>
    <row r="2" spans="1:21" s="1" customFormat="1" ht="14.1" customHeight="1" x14ac:dyDescent="0.2">
      <c r="A2" s="14" t="s">
        <v>198</v>
      </c>
      <c r="B2" s="18" t="s">
        <v>197</v>
      </c>
      <c r="C2" s="21">
        <v>893</v>
      </c>
      <c r="D2" s="21"/>
      <c r="E2" s="21">
        <v>17</v>
      </c>
      <c r="F2" s="21">
        <v>11</v>
      </c>
      <c r="G2" s="21">
        <v>20</v>
      </c>
      <c r="H2" s="21"/>
      <c r="I2" s="21">
        <v>305</v>
      </c>
      <c r="J2" s="21">
        <v>1</v>
      </c>
      <c r="K2" s="21">
        <v>99</v>
      </c>
      <c r="L2" s="21">
        <v>180</v>
      </c>
      <c r="M2" s="21"/>
      <c r="N2" s="21">
        <v>114</v>
      </c>
      <c r="O2" s="21">
        <v>2</v>
      </c>
      <c r="P2" s="21"/>
      <c r="Q2" s="21"/>
      <c r="R2" s="21"/>
      <c r="S2" s="21">
        <v>143</v>
      </c>
      <c r="T2" s="21">
        <v>1</v>
      </c>
      <c r="U2" s="21"/>
    </row>
    <row r="3" spans="1:21" s="1" customFormat="1" ht="14.1" customHeight="1" x14ac:dyDescent="0.2">
      <c r="A3" s="14" t="s">
        <v>188</v>
      </c>
      <c r="B3" s="18" t="s">
        <v>187</v>
      </c>
      <c r="C3" s="21">
        <v>141</v>
      </c>
      <c r="D3" s="21"/>
      <c r="E3" s="21">
        <v>7</v>
      </c>
      <c r="F3" s="21">
        <v>8</v>
      </c>
      <c r="G3" s="21">
        <v>3</v>
      </c>
      <c r="H3" s="21"/>
      <c r="I3" s="21">
        <v>16</v>
      </c>
      <c r="J3" s="21"/>
      <c r="K3" s="21">
        <v>13</v>
      </c>
      <c r="L3" s="21">
        <v>49</v>
      </c>
      <c r="M3" s="21"/>
      <c r="N3" s="21">
        <v>11</v>
      </c>
      <c r="O3" s="21">
        <v>20</v>
      </c>
      <c r="P3" s="21"/>
      <c r="Q3" s="21"/>
      <c r="R3" s="21"/>
      <c r="S3" s="21">
        <v>14</v>
      </c>
      <c r="T3" s="21"/>
      <c r="U3" s="21"/>
    </row>
    <row r="4" spans="1:21" s="1" customFormat="1" ht="14.1" customHeight="1" x14ac:dyDescent="0.2">
      <c r="A4" s="9" t="s">
        <v>200</v>
      </c>
      <c r="B4" s="8" t="s">
        <v>199</v>
      </c>
      <c r="C4" s="4">
        <v>432</v>
      </c>
      <c r="D4" s="4"/>
      <c r="E4" s="4">
        <v>4</v>
      </c>
      <c r="F4" s="4">
        <v>2</v>
      </c>
      <c r="G4" s="4">
        <v>13</v>
      </c>
      <c r="H4" s="4"/>
      <c r="I4" s="4">
        <v>112</v>
      </c>
      <c r="J4" s="4">
        <v>3</v>
      </c>
      <c r="K4" s="4">
        <v>56</v>
      </c>
      <c r="L4" s="4">
        <v>113</v>
      </c>
      <c r="M4" s="4"/>
      <c r="N4" s="4">
        <v>83</v>
      </c>
      <c r="O4" s="4"/>
      <c r="P4" s="4"/>
      <c r="Q4" s="4"/>
      <c r="R4" s="4"/>
      <c r="S4" s="4">
        <v>45</v>
      </c>
      <c r="T4" s="4">
        <v>1</v>
      </c>
      <c r="U4" s="4"/>
    </row>
    <row r="5" spans="1:21" s="1" customFormat="1" ht="14.1" customHeight="1" x14ac:dyDescent="0.2">
      <c r="A5" s="12" t="s">
        <v>178</v>
      </c>
      <c r="B5" s="17" t="s">
        <v>177</v>
      </c>
      <c r="C5" s="20">
        <v>405</v>
      </c>
      <c r="D5" s="20"/>
      <c r="E5" s="20">
        <v>11</v>
      </c>
      <c r="F5" s="20">
        <v>1</v>
      </c>
      <c r="G5" s="20">
        <v>8</v>
      </c>
      <c r="H5" s="20"/>
      <c r="I5" s="20">
        <v>90</v>
      </c>
      <c r="J5" s="20">
        <v>3</v>
      </c>
      <c r="K5" s="20">
        <v>50</v>
      </c>
      <c r="L5" s="20">
        <v>131</v>
      </c>
      <c r="M5" s="20"/>
      <c r="N5" s="20">
        <v>71</v>
      </c>
      <c r="O5" s="20">
        <v>1</v>
      </c>
      <c r="P5" s="20"/>
      <c r="Q5" s="20"/>
      <c r="R5" s="20"/>
      <c r="S5" s="20">
        <v>39</v>
      </c>
      <c r="T5" s="20"/>
      <c r="U5" s="20"/>
    </row>
    <row r="6" spans="1:21" s="1" customFormat="1" ht="18.2" customHeight="1" x14ac:dyDescent="0.2">
      <c r="A6" s="12" t="s">
        <v>196</v>
      </c>
      <c r="B6" s="8" t="s">
        <v>195</v>
      </c>
      <c r="C6" s="25">
        <v>10</v>
      </c>
      <c r="D6" s="25"/>
      <c r="E6" s="25"/>
      <c r="F6" s="20"/>
      <c r="G6" s="20"/>
      <c r="H6" s="20"/>
      <c r="I6" s="20">
        <v>4</v>
      </c>
      <c r="J6" s="20"/>
      <c r="K6" s="20">
        <v>1</v>
      </c>
      <c r="L6" s="20">
        <v>1</v>
      </c>
      <c r="M6" s="20"/>
      <c r="N6" s="20">
        <v>4</v>
      </c>
      <c r="O6" s="20"/>
      <c r="P6" s="20"/>
      <c r="Q6" s="20"/>
      <c r="R6" s="20"/>
      <c r="S6" s="20"/>
      <c r="T6" s="20"/>
      <c r="U6" s="20"/>
    </row>
    <row r="7" spans="1:21" s="1" customFormat="1" ht="22.7" customHeight="1" x14ac:dyDescent="0.2">
      <c r="A7" s="10" t="s">
        <v>180</v>
      </c>
      <c r="B7" s="15" t="s">
        <v>179</v>
      </c>
      <c r="C7" s="4">
        <v>10</v>
      </c>
      <c r="D7" s="4"/>
      <c r="E7" s="4"/>
      <c r="F7" s="4"/>
      <c r="G7" s="4"/>
      <c r="H7" s="4"/>
      <c r="I7" s="4">
        <v>2</v>
      </c>
      <c r="J7" s="4"/>
      <c r="K7" s="4">
        <v>2</v>
      </c>
      <c r="L7" s="4">
        <v>4</v>
      </c>
      <c r="M7" s="4"/>
      <c r="N7" s="4">
        <v>2</v>
      </c>
      <c r="O7" s="4"/>
      <c r="P7" s="4"/>
      <c r="Q7" s="4"/>
      <c r="R7" s="4"/>
      <c r="S7" s="4"/>
      <c r="T7" s="4"/>
      <c r="U7" s="4"/>
    </row>
    <row r="8" spans="1:21" s="1" customFormat="1" ht="14.1" customHeight="1" x14ac:dyDescent="0.2">
      <c r="A8" s="14" t="s">
        <v>186</v>
      </c>
      <c r="B8" s="18" t="s">
        <v>185</v>
      </c>
      <c r="C8" s="21">
        <v>117</v>
      </c>
      <c r="D8" s="21"/>
      <c r="E8" s="21">
        <v>4</v>
      </c>
      <c r="F8" s="21"/>
      <c r="G8" s="21">
        <v>4</v>
      </c>
      <c r="H8" s="21"/>
      <c r="I8" s="21">
        <v>42</v>
      </c>
      <c r="J8" s="21"/>
      <c r="K8" s="21">
        <v>15</v>
      </c>
      <c r="L8" s="21">
        <v>36</v>
      </c>
      <c r="M8" s="21"/>
      <c r="N8" s="21">
        <v>8</v>
      </c>
      <c r="O8" s="21"/>
      <c r="P8" s="21"/>
      <c r="Q8" s="21"/>
      <c r="R8" s="21"/>
      <c r="S8" s="21">
        <v>8</v>
      </c>
      <c r="T8" s="21"/>
      <c r="U8" s="21"/>
    </row>
    <row r="9" spans="1:21" s="1" customFormat="1" ht="14.1" customHeight="1" x14ac:dyDescent="0.2">
      <c r="A9" s="14" t="s">
        <v>170</v>
      </c>
      <c r="B9" s="18" t="s">
        <v>169</v>
      </c>
      <c r="C9" s="21">
        <v>76</v>
      </c>
      <c r="D9" s="21"/>
      <c r="E9" s="21">
        <v>8</v>
      </c>
      <c r="F9" s="21">
        <v>2</v>
      </c>
      <c r="G9" s="21"/>
      <c r="H9" s="21"/>
      <c r="I9" s="21">
        <v>9</v>
      </c>
      <c r="J9" s="21"/>
      <c r="K9" s="21">
        <v>6</v>
      </c>
      <c r="L9" s="21">
        <v>33</v>
      </c>
      <c r="M9" s="21"/>
      <c r="N9" s="21">
        <v>8</v>
      </c>
      <c r="O9" s="21"/>
      <c r="P9" s="21"/>
      <c r="Q9" s="21"/>
      <c r="R9" s="21"/>
      <c r="S9" s="21">
        <v>10</v>
      </c>
      <c r="T9" s="21"/>
      <c r="U9" s="21"/>
    </row>
    <row r="10" spans="1:21" s="1" customFormat="1" ht="14.1" customHeight="1" x14ac:dyDescent="0.2">
      <c r="A10" s="9" t="s">
        <v>176</v>
      </c>
      <c r="B10" s="8" t="s">
        <v>175</v>
      </c>
      <c r="C10" s="4">
        <v>34</v>
      </c>
      <c r="D10" s="4"/>
      <c r="E10" s="4"/>
      <c r="F10" s="4">
        <v>2</v>
      </c>
      <c r="G10" s="4"/>
      <c r="H10" s="4"/>
      <c r="I10" s="4">
        <v>19</v>
      </c>
      <c r="J10" s="4"/>
      <c r="K10" s="4">
        <v>1</v>
      </c>
      <c r="L10" s="4">
        <v>4</v>
      </c>
      <c r="M10" s="4"/>
      <c r="N10" s="4">
        <v>2</v>
      </c>
      <c r="O10" s="4"/>
      <c r="P10" s="4"/>
      <c r="Q10" s="4"/>
      <c r="R10" s="4"/>
      <c r="S10" s="4">
        <v>6</v>
      </c>
      <c r="T10" s="4"/>
      <c r="U10" s="4"/>
    </row>
    <row r="11" spans="1:21" s="1" customFormat="1" ht="14.1" customHeight="1" x14ac:dyDescent="0.2">
      <c r="A11" s="12" t="s">
        <v>192</v>
      </c>
      <c r="B11" s="17" t="s">
        <v>191</v>
      </c>
      <c r="C11" s="20">
        <v>202</v>
      </c>
      <c r="D11" s="20"/>
      <c r="E11" s="20">
        <v>11</v>
      </c>
      <c r="F11" s="20">
        <v>1</v>
      </c>
      <c r="G11" s="20">
        <v>2</v>
      </c>
      <c r="H11" s="20"/>
      <c r="I11" s="20">
        <v>52</v>
      </c>
      <c r="J11" s="20"/>
      <c r="K11" s="20">
        <v>26</v>
      </c>
      <c r="L11" s="20">
        <v>62</v>
      </c>
      <c r="M11" s="20"/>
      <c r="N11" s="20">
        <v>28</v>
      </c>
      <c r="O11" s="20"/>
      <c r="P11" s="20"/>
      <c r="Q11" s="20"/>
      <c r="R11" s="20"/>
      <c r="S11" s="20">
        <v>20</v>
      </c>
      <c r="T11" s="20"/>
      <c r="U11" s="20"/>
    </row>
    <row r="12" spans="1:21" s="1" customFormat="1" ht="18.2" customHeight="1" x14ac:dyDescent="0.2">
      <c r="A12" s="12" t="s">
        <v>172</v>
      </c>
      <c r="B12" s="8" t="s">
        <v>171</v>
      </c>
      <c r="C12" s="25">
        <v>56</v>
      </c>
      <c r="D12" s="25"/>
      <c r="E12" s="25"/>
      <c r="F12" s="20"/>
      <c r="G12" s="20">
        <v>1</v>
      </c>
      <c r="H12" s="20"/>
      <c r="I12" s="20">
        <v>18</v>
      </c>
      <c r="J12" s="20">
        <v>1</v>
      </c>
      <c r="K12" s="20">
        <v>10</v>
      </c>
      <c r="L12" s="20">
        <v>14</v>
      </c>
      <c r="M12" s="20"/>
      <c r="N12" s="20">
        <v>7</v>
      </c>
      <c r="O12" s="20"/>
      <c r="P12" s="20"/>
      <c r="Q12" s="20"/>
      <c r="R12" s="20"/>
      <c r="S12" s="20">
        <v>5</v>
      </c>
      <c r="T12" s="20"/>
      <c r="U12" s="20"/>
    </row>
    <row r="13" spans="1:21" s="1" customFormat="1" ht="22.7" customHeight="1" x14ac:dyDescent="0.2">
      <c r="A13" s="10" t="s">
        <v>190</v>
      </c>
      <c r="B13" s="15" t="s">
        <v>189</v>
      </c>
      <c r="C13" s="4">
        <v>103</v>
      </c>
      <c r="D13" s="4"/>
      <c r="E13" s="4"/>
      <c r="F13" s="4"/>
      <c r="G13" s="4"/>
      <c r="H13" s="4"/>
      <c r="I13" s="4">
        <v>32</v>
      </c>
      <c r="J13" s="4"/>
      <c r="K13" s="4">
        <v>12</v>
      </c>
      <c r="L13" s="4">
        <v>29</v>
      </c>
      <c r="M13" s="4"/>
      <c r="N13" s="4">
        <v>21</v>
      </c>
      <c r="O13" s="4"/>
      <c r="P13" s="4"/>
      <c r="Q13" s="4"/>
      <c r="R13" s="4"/>
      <c r="S13" s="4">
        <v>9</v>
      </c>
      <c r="T13" s="4"/>
      <c r="U13" s="4"/>
    </row>
    <row r="14" spans="1:21" s="1" customFormat="1" ht="14.1" customHeight="1" x14ac:dyDescent="0.2">
      <c r="A14" s="11" t="s">
        <v>182</v>
      </c>
      <c r="B14" s="16" t="s">
        <v>181</v>
      </c>
      <c r="C14" s="19">
        <v>26</v>
      </c>
      <c r="D14" s="19"/>
      <c r="E14" s="19"/>
      <c r="F14" s="19"/>
      <c r="G14" s="19"/>
      <c r="H14" s="19"/>
      <c r="I14" s="19">
        <v>5</v>
      </c>
      <c r="J14" s="19"/>
      <c r="K14" s="19">
        <v>4</v>
      </c>
      <c r="L14" s="19">
        <v>8</v>
      </c>
      <c r="M14" s="19"/>
      <c r="N14" s="19">
        <v>4</v>
      </c>
      <c r="O14" s="19"/>
      <c r="P14" s="19"/>
      <c r="Q14" s="19"/>
      <c r="R14" s="19"/>
      <c r="S14" s="19">
        <v>5</v>
      </c>
      <c r="T14" s="19"/>
      <c r="U14" s="19"/>
    </row>
    <row r="15" spans="1:21" s="1" customFormat="1" ht="14.1" customHeight="1" x14ac:dyDescent="0.2">
      <c r="A15" s="13">
        <v>200017341</v>
      </c>
      <c r="B15" s="16" t="s">
        <v>168</v>
      </c>
      <c r="C15" s="19">
        <v>18</v>
      </c>
      <c r="D15" s="19"/>
      <c r="E15" s="19">
        <v>3</v>
      </c>
      <c r="F15" s="19"/>
      <c r="G15" s="19"/>
      <c r="H15" s="19"/>
      <c r="I15" s="19">
        <v>9</v>
      </c>
      <c r="J15" s="19"/>
      <c r="K15" s="19">
        <v>4</v>
      </c>
      <c r="L15" s="19">
        <v>2</v>
      </c>
      <c r="M15" s="19"/>
      <c r="N15" s="19"/>
      <c r="O15" s="19"/>
      <c r="P15" s="19"/>
      <c r="Q15" s="19"/>
      <c r="R15" s="19"/>
      <c r="S15" s="19"/>
      <c r="T15" s="19"/>
      <c r="U15" s="19"/>
    </row>
    <row r="16" spans="1:21" s="1" customFormat="1" ht="14.1" customHeight="1" x14ac:dyDescent="0.2">
      <c r="A16" s="14" t="s">
        <v>174</v>
      </c>
      <c r="B16" s="18" t="s">
        <v>173</v>
      </c>
      <c r="C16" s="21">
        <v>18</v>
      </c>
      <c r="D16" s="21"/>
      <c r="E16" s="21">
        <v>1</v>
      </c>
      <c r="F16" s="21">
        <v>1</v>
      </c>
      <c r="G16" s="21">
        <v>1</v>
      </c>
      <c r="H16" s="21"/>
      <c r="I16" s="21">
        <v>4</v>
      </c>
      <c r="J16" s="21"/>
      <c r="K16" s="21"/>
      <c r="L16" s="21">
        <v>4</v>
      </c>
      <c r="M16" s="21"/>
      <c r="N16" s="21">
        <v>5</v>
      </c>
      <c r="O16" s="21"/>
      <c r="P16" s="21"/>
      <c r="Q16" s="21"/>
      <c r="R16" s="21"/>
      <c r="S16" s="21">
        <v>2</v>
      </c>
      <c r="T16" s="21"/>
      <c r="U16" s="21"/>
    </row>
    <row r="17" spans="1:21" s="1" customFormat="1" ht="14.1" customHeight="1" x14ac:dyDescent="0.2">
      <c r="A17" s="14" t="s">
        <v>194</v>
      </c>
      <c r="B17" s="18" t="s">
        <v>193</v>
      </c>
      <c r="C17" s="21">
        <v>44</v>
      </c>
      <c r="D17" s="21"/>
      <c r="E17" s="21">
        <v>1</v>
      </c>
      <c r="F17" s="21"/>
      <c r="G17" s="21">
        <v>2</v>
      </c>
      <c r="H17" s="21"/>
      <c r="I17" s="21">
        <v>10</v>
      </c>
      <c r="J17" s="21">
        <v>1</v>
      </c>
      <c r="K17" s="21">
        <v>4</v>
      </c>
      <c r="L17" s="21">
        <v>12</v>
      </c>
      <c r="M17" s="21"/>
      <c r="N17" s="21">
        <v>5</v>
      </c>
      <c r="O17" s="21"/>
      <c r="P17" s="21"/>
      <c r="Q17" s="21"/>
      <c r="R17" s="21"/>
      <c r="S17" s="21">
        <v>9</v>
      </c>
      <c r="T17" s="21"/>
      <c r="U17" s="21"/>
    </row>
    <row r="18" spans="1:21" s="1" customFormat="1" ht="14.1" customHeight="1" x14ac:dyDescent="0.2">
      <c r="A18" s="9" t="s">
        <v>184</v>
      </c>
      <c r="B18" s="8" t="s">
        <v>183</v>
      </c>
      <c r="C18" s="4">
        <v>3029</v>
      </c>
      <c r="D18" s="4">
        <v>1</v>
      </c>
      <c r="E18" s="4">
        <v>144</v>
      </c>
      <c r="F18" s="4">
        <v>20</v>
      </c>
      <c r="G18" s="4">
        <v>81</v>
      </c>
      <c r="H18" s="4"/>
      <c r="I18" s="4">
        <v>674</v>
      </c>
      <c r="J18" s="4">
        <v>3</v>
      </c>
      <c r="K18" s="4">
        <v>412</v>
      </c>
      <c r="L18" s="4">
        <v>1140</v>
      </c>
      <c r="M18" s="4"/>
      <c r="N18" s="4">
        <v>284</v>
      </c>
      <c r="O18" s="4">
        <v>37</v>
      </c>
      <c r="P18" s="4">
        <v>1</v>
      </c>
      <c r="Q18" s="4"/>
      <c r="R18" s="4"/>
      <c r="S18" s="4">
        <v>230</v>
      </c>
      <c r="T18" s="4">
        <v>2</v>
      </c>
      <c r="U18" s="4"/>
    </row>
    <row r="19" spans="1:21" x14ac:dyDescent="0.2">
      <c r="B19">
        <v>1</v>
      </c>
      <c r="C19" s="19">
        <v>2</v>
      </c>
      <c r="D19">
        <v>3</v>
      </c>
      <c r="E19" s="19">
        <v>4</v>
      </c>
      <c r="F19">
        <v>5</v>
      </c>
      <c r="G19" s="19">
        <v>6</v>
      </c>
      <c r="H19">
        <v>7</v>
      </c>
      <c r="I19" s="19">
        <v>8</v>
      </c>
      <c r="J19">
        <v>9</v>
      </c>
      <c r="K19" s="19">
        <v>10</v>
      </c>
      <c r="L19">
        <v>11</v>
      </c>
      <c r="M19" s="19">
        <v>12</v>
      </c>
      <c r="N19">
        <v>13</v>
      </c>
      <c r="O19" s="19">
        <v>14</v>
      </c>
      <c r="P19">
        <v>15</v>
      </c>
      <c r="Q19" s="19">
        <v>16</v>
      </c>
      <c r="R19">
        <v>17</v>
      </c>
      <c r="S19" s="19">
        <v>18</v>
      </c>
      <c r="T19">
        <v>19</v>
      </c>
      <c r="U19" s="19">
        <v>20</v>
      </c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selection activeCell="A2" sqref="A2:O2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15" width="10" customWidth="1"/>
    <col min="16" max="16" width="10.140625" customWidth="1"/>
    <col min="17" max="19" width="10" customWidth="1"/>
  </cols>
  <sheetData>
    <row r="1" spans="1:19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41</v>
      </c>
      <c r="E1" s="2" t="s">
        <v>42</v>
      </c>
      <c r="F1" s="2" t="s">
        <v>43</v>
      </c>
      <c r="G1" s="2" t="s">
        <v>44</v>
      </c>
      <c r="H1" s="2" t="s">
        <v>45</v>
      </c>
      <c r="I1" s="2" t="s">
        <v>46</v>
      </c>
      <c r="J1" s="2" t="s">
        <v>47</v>
      </c>
      <c r="K1" s="2" t="s">
        <v>48</v>
      </c>
      <c r="L1" s="2" t="s">
        <v>49</v>
      </c>
      <c r="M1" s="2" t="s">
        <v>50</v>
      </c>
      <c r="N1" s="2" t="s">
        <v>51</v>
      </c>
      <c r="O1" s="2" t="s">
        <v>52</v>
      </c>
      <c r="P1" s="2" t="s">
        <v>53</v>
      </c>
      <c r="Q1" s="2" t="s">
        <v>54</v>
      </c>
      <c r="R1" s="2" t="s">
        <v>55</v>
      </c>
      <c r="S1" s="2" t="s">
        <v>27</v>
      </c>
    </row>
    <row r="2" spans="1:19" s="1" customFormat="1" ht="14.1" customHeight="1" x14ac:dyDescent="0.2">
      <c r="A2" s="14" t="s">
        <v>198</v>
      </c>
      <c r="B2" s="18" t="s">
        <v>197</v>
      </c>
      <c r="C2" s="21">
        <v>893</v>
      </c>
      <c r="D2" s="21">
        <v>108</v>
      </c>
      <c r="E2" s="21">
        <v>73</v>
      </c>
      <c r="F2" s="21">
        <v>55</v>
      </c>
      <c r="G2" s="21">
        <v>33</v>
      </c>
      <c r="H2" s="21">
        <v>20</v>
      </c>
      <c r="I2" s="21">
        <v>2</v>
      </c>
      <c r="J2" s="21">
        <v>1</v>
      </c>
      <c r="K2" s="21">
        <v>346</v>
      </c>
      <c r="L2" s="21">
        <v>127</v>
      </c>
      <c r="M2" s="21">
        <v>89</v>
      </c>
      <c r="N2" s="21">
        <v>26</v>
      </c>
      <c r="O2" s="21">
        <v>11</v>
      </c>
      <c r="P2" s="21">
        <v>1</v>
      </c>
      <c r="Q2" s="21">
        <v>1</v>
      </c>
      <c r="R2" s="21"/>
      <c r="S2" s="21"/>
    </row>
    <row r="3" spans="1:19" s="1" customFormat="1" ht="14.1" customHeight="1" x14ac:dyDescent="0.2">
      <c r="A3" s="14" t="s">
        <v>188</v>
      </c>
      <c r="B3" s="18" t="s">
        <v>187</v>
      </c>
      <c r="C3" s="21">
        <v>141</v>
      </c>
      <c r="D3" s="21">
        <v>13</v>
      </c>
      <c r="E3" s="21">
        <v>4</v>
      </c>
      <c r="F3" s="21">
        <v>1</v>
      </c>
      <c r="G3" s="21">
        <v>4</v>
      </c>
      <c r="H3" s="21"/>
      <c r="I3" s="21">
        <v>1</v>
      </c>
      <c r="J3" s="21"/>
      <c r="K3" s="21">
        <v>83</v>
      </c>
      <c r="L3" s="21">
        <v>21</v>
      </c>
      <c r="M3" s="21">
        <v>10</v>
      </c>
      <c r="N3" s="21">
        <v>4</v>
      </c>
      <c r="O3" s="21"/>
      <c r="P3" s="21"/>
      <c r="Q3" s="21"/>
      <c r="R3" s="21"/>
      <c r="S3" s="21"/>
    </row>
    <row r="4" spans="1:19" s="1" customFormat="1" ht="14.1" customHeight="1" x14ac:dyDescent="0.2">
      <c r="A4" s="9" t="s">
        <v>200</v>
      </c>
      <c r="B4" s="8" t="s">
        <v>199</v>
      </c>
      <c r="C4" s="4">
        <v>432</v>
      </c>
      <c r="D4" s="4">
        <v>49</v>
      </c>
      <c r="E4" s="4">
        <v>41</v>
      </c>
      <c r="F4" s="4">
        <v>33</v>
      </c>
      <c r="G4" s="4">
        <v>19</v>
      </c>
      <c r="H4" s="4">
        <v>6</v>
      </c>
      <c r="I4" s="4">
        <v>3</v>
      </c>
      <c r="J4" s="4">
        <v>3</v>
      </c>
      <c r="K4" s="4">
        <v>132</v>
      </c>
      <c r="L4" s="4">
        <v>67</v>
      </c>
      <c r="M4" s="4">
        <v>53</v>
      </c>
      <c r="N4" s="4">
        <v>20</v>
      </c>
      <c r="O4" s="4">
        <v>5</v>
      </c>
      <c r="P4" s="4">
        <v>1</v>
      </c>
      <c r="Q4" s="4"/>
      <c r="R4" s="4"/>
      <c r="S4" s="4"/>
    </row>
    <row r="5" spans="1:19" s="1" customFormat="1" ht="14.1" customHeight="1" x14ac:dyDescent="0.2">
      <c r="A5" s="12" t="s">
        <v>178</v>
      </c>
      <c r="B5" s="17" t="s">
        <v>177</v>
      </c>
      <c r="C5" s="20">
        <v>405</v>
      </c>
      <c r="D5" s="20">
        <v>48</v>
      </c>
      <c r="E5" s="20">
        <v>36</v>
      </c>
      <c r="F5" s="20">
        <v>36</v>
      </c>
      <c r="G5" s="20">
        <v>19</v>
      </c>
      <c r="H5" s="20">
        <v>7</v>
      </c>
      <c r="I5" s="20">
        <v>2</v>
      </c>
      <c r="J5" s="20">
        <v>1</v>
      </c>
      <c r="K5" s="20">
        <v>125</v>
      </c>
      <c r="L5" s="20">
        <v>67</v>
      </c>
      <c r="M5" s="20">
        <v>40</v>
      </c>
      <c r="N5" s="20">
        <v>20</v>
      </c>
      <c r="O5" s="20">
        <v>4</v>
      </c>
      <c r="P5" s="20"/>
      <c r="Q5" s="20"/>
      <c r="R5" s="20"/>
      <c r="S5" s="20"/>
    </row>
    <row r="6" spans="1:19" s="1" customFormat="1" ht="18.2" customHeight="1" x14ac:dyDescent="0.2">
      <c r="A6" s="12" t="s">
        <v>196</v>
      </c>
      <c r="B6" s="8" t="s">
        <v>195</v>
      </c>
      <c r="C6" s="25">
        <v>10</v>
      </c>
      <c r="D6" s="25"/>
      <c r="E6" s="25"/>
      <c r="F6" s="25"/>
      <c r="G6" s="20">
        <v>1</v>
      </c>
      <c r="H6" s="20"/>
      <c r="I6" s="20"/>
      <c r="J6" s="20"/>
      <c r="K6" s="20"/>
      <c r="L6" s="20">
        <v>3</v>
      </c>
      <c r="M6" s="20">
        <v>4</v>
      </c>
      <c r="N6" s="20">
        <v>2</v>
      </c>
      <c r="O6" s="20"/>
      <c r="P6" s="20"/>
      <c r="Q6" s="20"/>
      <c r="R6" s="20"/>
      <c r="S6" s="20"/>
    </row>
    <row r="7" spans="1:19" s="1" customFormat="1" ht="22.7" customHeight="1" x14ac:dyDescent="0.2">
      <c r="A7" s="10" t="s">
        <v>180</v>
      </c>
      <c r="B7" s="15" t="s">
        <v>179</v>
      </c>
      <c r="C7" s="4">
        <v>10</v>
      </c>
      <c r="D7" s="4">
        <v>2</v>
      </c>
      <c r="E7" s="4">
        <v>3</v>
      </c>
      <c r="F7" s="4"/>
      <c r="G7" s="4"/>
      <c r="H7" s="4"/>
      <c r="I7" s="4"/>
      <c r="J7" s="4"/>
      <c r="K7" s="4">
        <v>4</v>
      </c>
      <c r="L7" s="4"/>
      <c r="M7" s="4">
        <v>1</v>
      </c>
      <c r="N7" s="4"/>
      <c r="O7" s="4"/>
      <c r="P7" s="4"/>
      <c r="Q7" s="4"/>
      <c r="R7" s="4"/>
      <c r="S7" s="4"/>
    </row>
    <row r="8" spans="1:19" s="1" customFormat="1" ht="14.1" customHeight="1" x14ac:dyDescent="0.2">
      <c r="A8" s="14" t="s">
        <v>186</v>
      </c>
      <c r="B8" s="18" t="s">
        <v>185</v>
      </c>
      <c r="C8" s="21">
        <v>117</v>
      </c>
      <c r="D8" s="21">
        <v>10</v>
      </c>
      <c r="E8" s="21">
        <v>7</v>
      </c>
      <c r="F8" s="21">
        <v>13</v>
      </c>
      <c r="G8" s="21">
        <v>3</v>
      </c>
      <c r="H8" s="21">
        <v>2</v>
      </c>
      <c r="I8" s="21">
        <v>1</v>
      </c>
      <c r="J8" s="21"/>
      <c r="K8" s="21">
        <v>30</v>
      </c>
      <c r="L8" s="21">
        <v>25</v>
      </c>
      <c r="M8" s="21">
        <v>16</v>
      </c>
      <c r="N8" s="21">
        <v>7</v>
      </c>
      <c r="O8" s="21">
        <v>3</v>
      </c>
      <c r="P8" s="21"/>
      <c r="Q8" s="21"/>
      <c r="R8" s="21"/>
      <c r="S8" s="21"/>
    </row>
    <row r="9" spans="1:19" s="1" customFormat="1" ht="14.1" customHeight="1" x14ac:dyDescent="0.2">
      <c r="A9" s="14" t="s">
        <v>170</v>
      </c>
      <c r="B9" s="18" t="s">
        <v>169</v>
      </c>
      <c r="C9" s="21">
        <v>76</v>
      </c>
      <c r="D9" s="21">
        <v>1</v>
      </c>
      <c r="E9" s="21">
        <v>4</v>
      </c>
      <c r="F9" s="21">
        <v>7</v>
      </c>
      <c r="G9" s="21">
        <v>3</v>
      </c>
      <c r="H9" s="21"/>
      <c r="I9" s="21"/>
      <c r="J9" s="21"/>
      <c r="K9" s="21">
        <v>33</v>
      </c>
      <c r="L9" s="21">
        <v>17</v>
      </c>
      <c r="M9" s="21">
        <v>7</v>
      </c>
      <c r="N9" s="21">
        <v>3</v>
      </c>
      <c r="O9" s="21">
        <v>1</v>
      </c>
      <c r="P9" s="21"/>
      <c r="Q9" s="21"/>
      <c r="R9" s="21"/>
      <c r="S9" s="21"/>
    </row>
    <row r="10" spans="1:19" s="1" customFormat="1" ht="14.1" customHeight="1" x14ac:dyDescent="0.2">
      <c r="A10" s="9" t="s">
        <v>176</v>
      </c>
      <c r="B10" s="8" t="s">
        <v>175</v>
      </c>
      <c r="C10" s="4">
        <v>34</v>
      </c>
      <c r="D10" s="4">
        <v>6</v>
      </c>
      <c r="E10" s="4">
        <v>2</v>
      </c>
      <c r="F10" s="4"/>
      <c r="G10" s="4"/>
      <c r="H10" s="4">
        <v>1</v>
      </c>
      <c r="I10" s="4"/>
      <c r="J10" s="4"/>
      <c r="K10" s="4">
        <v>12</v>
      </c>
      <c r="L10" s="4">
        <v>6</v>
      </c>
      <c r="M10" s="4">
        <v>2</v>
      </c>
      <c r="N10" s="4">
        <v>2</v>
      </c>
      <c r="O10" s="4">
        <v>1</v>
      </c>
      <c r="P10" s="4">
        <v>1</v>
      </c>
      <c r="Q10" s="4">
        <v>1</v>
      </c>
      <c r="R10" s="4"/>
      <c r="S10" s="4"/>
    </row>
    <row r="11" spans="1:19" s="1" customFormat="1" ht="14.1" customHeight="1" x14ac:dyDescent="0.2">
      <c r="A11" s="12" t="s">
        <v>192</v>
      </c>
      <c r="B11" s="17" t="s">
        <v>191</v>
      </c>
      <c r="C11" s="20">
        <v>202</v>
      </c>
      <c r="D11" s="20">
        <v>25</v>
      </c>
      <c r="E11" s="20">
        <v>24</v>
      </c>
      <c r="F11" s="20">
        <v>14</v>
      </c>
      <c r="G11" s="20">
        <v>3</v>
      </c>
      <c r="H11" s="20">
        <v>4</v>
      </c>
      <c r="I11" s="20">
        <v>1</v>
      </c>
      <c r="J11" s="20"/>
      <c r="K11" s="20">
        <v>69</v>
      </c>
      <c r="L11" s="20">
        <v>40</v>
      </c>
      <c r="M11" s="20">
        <v>16</v>
      </c>
      <c r="N11" s="20">
        <v>5</v>
      </c>
      <c r="O11" s="20">
        <v>1</v>
      </c>
      <c r="P11" s="20"/>
      <c r="Q11" s="20"/>
      <c r="R11" s="20"/>
      <c r="S11" s="20"/>
    </row>
    <row r="12" spans="1:19" s="1" customFormat="1" ht="18.2" customHeight="1" x14ac:dyDescent="0.2">
      <c r="A12" s="12" t="s">
        <v>172</v>
      </c>
      <c r="B12" s="8" t="s">
        <v>171</v>
      </c>
      <c r="C12" s="25">
        <v>56</v>
      </c>
      <c r="D12" s="25">
        <v>6</v>
      </c>
      <c r="E12" s="25">
        <v>5</v>
      </c>
      <c r="F12" s="25">
        <v>5</v>
      </c>
      <c r="G12" s="20">
        <v>1</v>
      </c>
      <c r="H12" s="20">
        <v>1</v>
      </c>
      <c r="I12" s="20">
        <v>1</v>
      </c>
      <c r="J12" s="20"/>
      <c r="K12" s="20">
        <v>13</v>
      </c>
      <c r="L12" s="20">
        <v>14</v>
      </c>
      <c r="M12" s="20">
        <v>6</v>
      </c>
      <c r="N12" s="20">
        <v>3</v>
      </c>
      <c r="O12" s="20">
        <v>1</v>
      </c>
      <c r="P12" s="20"/>
      <c r="Q12" s="20"/>
      <c r="R12" s="20"/>
      <c r="S12" s="20"/>
    </row>
    <row r="13" spans="1:19" s="1" customFormat="1" ht="22.7" customHeight="1" x14ac:dyDescent="0.2">
      <c r="A13" s="10" t="s">
        <v>190</v>
      </c>
      <c r="B13" s="15" t="s">
        <v>189</v>
      </c>
      <c r="C13" s="4">
        <v>103</v>
      </c>
      <c r="D13" s="4">
        <v>8</v>
      </c>
      <c r="E13" s="4">
        <v>5</v>
      </c>
      <c r="F13" s="4">
        <v>8</v>
      </c>
      <c r="G13" s="4">
        <v>3</v>
      </c>
      <c r="H13" s="4">
        <v>2</v>
      </c>
      <c r="I13" s="4"/>
      <c r="J13" s="4"/>
      <c r="K13" s="4">
        <v>25</v>
      </c>
      <c r="L13" s="4">
        <v>23</v>
      </c>
      <c r="M13" s="4">
        <v>22</v>
      </c>
      <c r="N13" s="4">
        <v>3</v>
      </c>
      <c r="O13" s="4">
        <v>3</v>
      </c>
      <c r="P13" s="4">
        <v>1</v>
      </c>
      <c r="Q13" s="4"/>
      <c r="R13" s="4"/>
      <c r="S13" s="4"/>
    </row>
    <row r="14" spans="1:19" s="1" customFormat="1" ht="14.1" customHeight="1" x14ac:dyDescent="0.2">
      <c r="A14" s="11" t="s">
        <v>182</v>
      </c>
      <c r="B14" s="16" t="s">
        <v>181</v>
      </c>
      <c r="C14" s="19">
        <v>26</v>
      </c>
      <c r="D14" s="19">
        <v>4</v>
      </c>
      <c r="E14" s="19">
        <v>2</v>
      </c>
      <c r="F14" s="19">
        <v>2</v>
      </c>
      <c r="G14" s="19">
        <v>2</v>
      </c>
      <c r="H14" s="19"/>
      <c r="I14" s="19"/>
      <c r="J14" s="19"/>
      <c r="K14" s="19">
        <v>9</v>
      </c>
      <c r="L14" s="19">
        <v>3</v>
      </c>
      <c r="M14" s="19">
        <v>2</v>
      </c>
      <c r="N14" s="19">
        <v>1</v>
      </c>
      <c r="O14" s="19">
        <v>1</v>
      </c>
      <c r="P14" s="19"/>
      <c r="Q14" s="19"/>
      <c r="R14" s="19"/>
      <c r="S14" s="19"/>
    </row>
    <row r="15" spans="1:19" s="1" customFormat="1" ht="14.1" customHeight="1" x14ac:dyDescent="0.2">
      <c r="A15" s="13">
        <v>200017341</v>
      </c>
      <c r="B15" s="16" t="s">
        <v>168</v>
      </c>
      <c r="C15" s="19">
        <v>18</v>
      </c>
      <c r="D15" s="19"/>
      <c r="E15" s="19">
        <v>2</v>
      </c>
      <c r="F15" s="19">
        <v>1</v>
      </c>
      <c r="G15" s="19">
        <v>2</v>
      </c>
      <c r="H15" s="19">
        <v>1</v>
      </c>
      <c r="I15" s="19">
        <v>1</v>
      </c>
      <c r="J15" s="19"/>
      <c r="K15" s="19">
        <v>2</v>
      </c>
      <c r="L15" s="19">
        <v>4</v>
      </c>
      <c r="M15" s="19">
        <v>3</v>
      </c>
      <c r="N15" s="19">
        <v>2</v>
      </c>
      <c r="O15" s="19"/>
      <c r="P15" s="19"/>
      <c r="Q15" s="19"/>
      <c r="R15" s="19"/>
      <c r="S15" s="19"/>
    </row>
    <row r="16" spans="1:19" s="1" customFormat="1" ht="14.1" customHeight="1" x14ac:dyDescent="0.2">
      <c r="A16" s="14" t="s">
        <v>174</v>
      </c>
      <c r="B16" s="18" t="s">
        <v>173</v>
      </c>
      <c r="C16" s="21">
        <v>18</v>
      </c>
      <c r="D16" s="21">
        <v>2</v>
      </c>
      <c r="E16" s="21">
        <v>1</v>
      </c>
      <c r="F16" s="21">
        <v>1</v>
      </c>
      <c r="G16" s="21">
        <v>4</v>
      </c>
      <c r="H16" s="21">
        <v>1</v>
      </c>
      <c r="I16" s="21"/>
      <c r="J16" s="21"/>
      <c r="K16" s="21">
        <v>2</v>
      </c>
      <c r="L16" s="21">
        <v>4</v>
      </c>
      <c r="M16" s="21">
        <v>3</v>
      </c>
      <c r="N16" s="21"/>
      <c r="O16" s="21"/>
      <c r="P16" s="21"/>
      <c r="Q16" s="21"/>
      <c r="R16" s="21"/>
      <c r="S16" s="21"/>
    </row>
    <row r="17" spans="1:19" s="1" customFormat="1" ht="14.1" customHeight="1" x14ac:dyDescent="0.2">
      <c r="A17" s="14" t="s">
        <v>194</v>
      </c>
      <c r="B17" s="18" t="s">
        <v>193</v>
      </c>
      <c r="C17" s="21">
        <v>44</v>
      </c>
      <c r="D17" s="21">
        <v>3</v>
      </c>
      <c r="E17" s="21">
        <v>5</v>
      </c>
      <c r="F17" s="21">
        <v>2</v>
      </c>
      <c r="G17" s="21">
        <v>1</v>
      </c>
      <c r="H17" s="21">
        <v>1</v>
      </c>
      <c r="I17" s="21"/>
      <c r="J17" s="21"/>
      <c r="K17" s="21">
        <v>18</v>
      </c>
      <c r="L17" s="21">
        <v>9</v>
      </c>
      <c r="M17" s="21">
        <v>4</v>
      </c>
      <c r="N17" s="21">
        <v>1</v>
      </c>
      <c r="O17" s="21"/>
      <c r="P17" s="21"/>
      <c r="Q17" s="21"/>
      <c r="R17" s="21"/>
      <c r="S17" s="21"/>
    </row>
    <row r="18" spans="1:19" s="1" customFormat="1" ht="14.1" customHeight="1" x14ac:dyDescent="0.2">
      <c r="A18" s="9" t="s">
        <v>184</v>
      </c>
      <c r="B18" s="8" t="s">
        <v>183</v>
      </c>
      <c r="C18" s="4">
        <v>3029</v>
      </c>
      <c r="D18" s="4">
        <v>310</v>
      </c>
      <c r="E18" s="4">
        <v>287</v>
      </c>
      <c r="F18" s="4">
        <v>235</v>
      </c>
      <c r="G18" s="4">
        <v>156</v>
      </c>
      <c r="H18" s="4">
        <v>57</v>
      </c>
      <c r="I18" s="4">
        <v>9</v>
      </c>
      <c r="J18" s="4">
        <v>3</v>
      </c>
      <c r="K18" s="4">
        <v>1021</v>
      </c>
      <c r="L18" s="4">
        <v>537</v>
      </c>
      <c r="M18" s="4">
        <v>300</v>
      </c>
      <c r="N18" s="4">
        <v>90</v>
      </c>
      <c r="O18" s="4">
        <v>19</v>
      </c>
      <c r="P18" s="4">
        <v>4</v>
      </c>
      <c r="Q18" s="4">
        <v>1</v>
      </c>
      <c r="R18" s="4"/>
      <c r="S18" s="4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workbookViewId="0">
      <selection activeCell="A2" sqref="A2:O2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15" width="10" customWidth="1"/>
    <col min="16" max="16" width="10.140625" customWidth="1"/>
    <col min="17" max="20" width="10" customWidth="1"/>
  </cols>
  <sheetData>
    <row r="1" spans="1:20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12</v>
      </c>
      <c r="E1" s="2" t="s">
        <v>13</v>
      </c>
      <c r="F1" s="2" t="s">
        <v>14</v>
      </c>
      <c r="G1" s="2" t="s">
        <v>15</v>
      </c>
      <c r="H1" s="2" t="s">
        <v>16</v>
      </c>
      <c r="I1" s="2" t="s">
        <v>17</v>
      </c>
      <c r="J1" s="2" t="s">
        <v>18</v>
      </c>
      <c r="K1" s="2" t="s">
        <v>19</v>
      </c>
      <c r="L1" s="2" t="s">
        <v>20</v>
      </c>
      <c r="M1" s="2" t="s">
        <v>21</v>
      </c>
      <c r="N1" s="2" t="s">
        <v>22</v>
      </c>
      <c r="O1" s="2" t="s">
        <v>23</v>
      </c>
      <c r="P1" s="2" t="s">
        <v>24</v>
      </c>
      <c r="Q1" s="2" t="s">
        <v>25</v>
      </c>
      <c r="R1" s="2" t="s">
        <v>11</v>
      </c>
      <c r="S1" s="2" t="s">
        <v>26</v>
      </c>
      <c r="T1" s="2" t="s">
        <v>27</v>
      </c>
    </row>
    <row r="2" spans="1:20" s="1" customFormat="1" ht="14.1" customHeight="1" x14ac:dyDescent="0.2">
      <c r="A2" s="14" t="s">
        <v>198</v>
      </c>
      <c r="B2" s="18" t="s">
        <v>197</v>
      </c>
      <c r="C2" s="21">
        <v>893</v>
      </c>
      <c r="D2" s="28">
        <v>44.708846584546471</v>
      </c>
      <c r="E2" s="21">
        <v>5</v>
      </c>
      <c r="F2" s="21">
        <v>68</v>
      </c>
      <c r="G2" s="21">
        <v>108</v>
      </c>
      <c r="H2" s="21">
        <v>108</v>
      </c>
      <c r="I2" s="21">
        <v>110</v>
      </c>
      <c r="J2" s="21">
        <v>83</v>
      </c>
      <c r="K2" s="21">
        <v>81</v>
      </c>
      <c r="L2" s="21">
        <v>81</v>
      </c>
      <c r="M2" s="21">
        <v>67</v>
      </c>
      <c r="N2" s="21">
        <v>64</v>
      </c>
      <c r="O2" s="21">
        <v>38</v>
      </c>
      <c r="P2" s="21">
        <v>43</v>
      </c>
      <c r="Q2" s="21">
        <v>37</v>
      </c>
      <c r="R2" s="21"/>
      <c r="S2" s="21"/>
      <c r="T2" s="21"/>
    </row>
    <row r="3" spans="1:20" s="1" customFormat="1" ht="14.1" customHeight="1" x14ac:dyDescent="0.2">
      <c r="A3" s="14" t="s">
        <v>188</v>
      </c>
      <c r="B3" s="18" t="s">
        <v>187</v>
      </c>
      <c r="C3" s="21">
        <v>141</v>
      </c>
      <c r="D3" s="28">
        <v>37.645390070921984</v>
      </c>
      <c r="E3" s="21">
        <v>9</v>
      </c>
      <c r="F3" s="21">
        <v>34</v>
      </c>
      <c r="G3" s="21">
        <v>17</v>
      </c>
      <c r="H3" s="21">
        <v>11</v>
      </c>
      <c r="I3" s="21">
        <v>15</v>
      </c>
      <c r="J3" s="21">
        <v>12</v>
      </c>
      <c r="K3" s="21">
        <v>11</v>
      </c>
      <c r="L3" s="21">
        <v>5</v>
      </c>
      <c r="M3" s="21">
        <v>5</v>
      </c>
      <c r="N3" s="21">
        <v>13</v>
      </c>
      <c r="O3" s="21">
        <v>3</v>
      </c>
      <c r="P3" s="21">
        <v>4</v>
      </c>
      <c r="Q3" s="21">
        <v>2</v>
      </c>
      <c r="R3" s="21"/>
      <c r="S3" s="21"/>
      <c r="T3" s="21"/>
    </row>
    <row r="4" spans="1:20" s="1" customFormat="1" ht="14.1" customHeight="1" x14ac:dyDescent="0.2">
      <c r="A4" s="9" t="s">
        <v>200</v>
      </c>
      <c r="B4" s="8" t="s">
        <v>199</v>
      </c>
      <c r="C4" s="4">
        <v>432</v>
      </c>
      <c r="D4" s="6">
        <v>44.233796296296298</v>
      </c>
      <c r="E4" s="4">
        <v>5</v>
      </c>
      <c r="F4" s="4">
        <v>32</v>
      </c>
      <c r="G4" s="4">
        <v>43</v>
      </c>
      <c r="H4" s="4">
        <v>56</v>
      </c>
      <c r="I4" s="4">
        <v>51</v>
      </c>
      <c r="J4" s="4">
        <v>36</v>
      </c>
      <c r="K4" s="4">
        <v>51</v>
      </c>
      <c r="L4" s="4">
        <v>47</v>
      </c>
      <c r="M4" s="4">
        <v>43</v>
      </c>
      <c r="N4" s="4">
        <v>22</v>
      </c>
      <c r="O4" s="4">
        <v>24</v>
      </c>
      <c r="P4" s="4">
        <v>7</v>
      </c>
      <c r="Q4" s="4">
        <v>15</v>
      </c>
      <c r="R4" s="4"/>
      <c r="S4" s="4"/>
      <c r="T4" s="4"/>
    </row>
    <row r="5" spans="1:20" s="1" customFormat="1" ht="14.1" customHeight="1" x14ac:dyDescent="0.2">
      <c r="A5" s="12" t="s">
        <v>178</v>
      </c>
      <c r="B5" s="17" t="s">
        <v>177</v>
      </c>
      <c r="C5" s="20">
        <v>405</v>
      </c>
      <c r="D5" s="30">
        <v>41.876543209876544</v>
      </c>
      <c r="E5" s="20">
        <v>1</v>
      </c>
      <c r="F5" s="20">
        <v>32</v>
      </c>
      <c r="G5" s="20">
        <v>58</v>
      </c>
      <c r="H5" s="20">
        <v>60</v>
      </c>
      <c r="I5" s="20">
        <v>59</v>
      </c>
      <c r="J5" s="20">
        <v>44</v>
      </c>
      <c r="K5" s="20">
        <v>35</v>
      </c>
      <c r="L5" s="20">
        <v>35</v>
      </c>
      <c r="M5" s="20">
        <v>23</v>
      </c>
      <c r="N5" s="20">
        <v>26</v>
      </c>
      <c r="O5" s="20">
        <v>16</v>
      </c>
      <c r="P5" s="20">
        <v>6</v>
      </c>
      <c r="Q5" s="20">
        <v>10</v>
      </c>
      <c r="R5" s="20"/>
      <c r="S5" s="20"/>
      <c r="T5" s="20"/>
    </row>
    <row r="6" spans="1:20" s="1" customFormat="1" ht="18.2" customHeight="1" x14ac:dyDescent="0.2">
      <c r="A6" s="12" t="s">
        <v>196</v>
      </c>
      <c r="B6" s="8" t="s">
        <v>195</v>
      </c>
      <c r="C6" s="25">
        <v>10</v>
      </c>
      <c r="D6" s="29">
        <v>36.1</v>
      </c>
      <c r="E6" s="25"/>
      <c r="F6" s="25"/>
      <c r="G6" s="20">
        <v>2</v>
      </c>
      <c r="H6" s="20">
        <v>3</v>
      </c>
      <c r="I6" s="20">
        <v>2</v>
      </c>
      <c r="J6" s="20">
        <v>2</v>
      </c>
      <c r="K6" s="20"/>
      <c r="L6" s="20">
        <v>1</v>
      </c>
      <c r="M6" s="20"/>
      <c r="N6" s="20"/>
      <c r="O6" s="20"/>
      <c r="P6" s="20"/>
      <c r="Q6" s="20"/>
      <c r="R6" s="20"/>
      <c r="S6" s="20"/>
      <c r="T6" s="20"/>
    </row>
    <row r="7" spans="1:20" s="1" customFormat="1" ht="22.7" customHeight="1" x14ac:dyDescent="0.2">
      <c r="A7" s="10" t="s">
        <v>180</v>
      </c>
      <c r="B7" s="15" t="s">
        <v>179</v>
      </c>
      <c r="C7" s="4">
        <v>10</v>
      </c>
      <c r="D7" s="6">
        <v>35.1</v>
      </c>
      <c r="E7" s="4"/>
      <c r="F7" s="4">
        <v>1</v>
      </c>
      <c r="G7" s="4">
        <v>3</v>
      </c>
      <c r="H7" s="4">
        <v>1</v>
      </c>
      <c r="I7" s="4">
        <v>2</v>
      </c>
      <c r="J7" s="4">
        <v>1</v>
      </c>
      <c r="K7" s="4">
        <v>1</v>
      </c>
      <c r="L7" s="4">
        <v>1</v>
      </c>
      <c r="M7" s="4"/>
      <c r="N7" s="4"/>
      <c r="O7" s="4"/>
      <c r="P7" s="4"/>
      <c r="Q7" s="4"/>
      <c r="R7" s="4"/>
      <c r="S7" s="4"/>
      <c r="T7" s="4"/>
    </row>
    <row r="8" spans="1:20" s="1" customFormat="1" ht="14.1" customHeight="1" x14ac:dyDescent="0.2">
      <c r="A8" s="14" t="s">
        <v>186</v>
      </c>
      <c r="B8" s="18" t="s">
        <v>185</v>
      </c>
      <c r="C8" s="21">
        <v>117</v>
      </c>
      <c r="D8" s="28">
        <v>42.068376068376068</v>
      </c>
      <c r="E8" s="21"/>
      <c r="F8" s="21">
        <v>7</v>
      </c>
      <c r="G8" s="21">
        <v>16</v>
      </c>
      <c r="H8" s="21">
        <v>18</v>
      </c>
      <c r="I8" s="21">
        <v>15</v>
      </c>
      <c r="J8" s="21">
        <v>17</v>
      </c>
      <c r="K8" s="21">
        <v>15</v>
      </c>
      <c r="L8" s="21">
        <v>10</v>
      </c>
      <c r="M8" s="21">
        <v>6</v>
      </c>
      <c r="N8" s="21">
        <v>6</v>
      </c>
      <c r="O8" s="21">
        <v>1</v>
      </c>
      <c r="P8" s="21">
        <v>2</v>
      </c>
      <c r="Q8" s="21">
        <v>4</v>
      </c>
      <c r="R8" s="21"/>
      <c r="S8" s="21"/>
      <c r="T8" s="21"/>
    </row>
    <row r="9" spans="1:20" s="1" customFormat="1" ht="14.1" customHeight="1" x14ac:dyDescent="0.2">
      <c r="A9" s="14" t="s">
        <v>170</v>
      </c>
      <c r="B9" s="18" t="s">
        <v>169</v>
      </c>
      <c r="C9" s="21">
        <v>76</v>
      </c>
      <c r="D9" s="28">
        <v>44.092105263157897</v>
      </c>
      <c r="E9" s="21">
        <v>1</v>
      </c>
      <c r="F9" s="21">
        <v>1</v>
      </c>
      <c r="G9" s="21">
        <v>10</v>
      </c>
      <c r="H9" s="21">
        <v>10</v>
      </c>
      <c r="I9" s="21">
        <v>15</v>
      </c>
      <c r="J9" s="21">
        <v>9</v>
      </c>
      <c r="K9" s="21">
        <v>7</v>
      </c>
      <c r="L9" s="21">
        <v>6</v>
      </c>
      <c r="M9" s="21">
        <v>4</v>
      </c>
      <c r="N9" s="21">
        <v>4</v>
      </c>
      <c r="O9" s="21">
        <v>3</v>
      </c>
      <c r="P9" s="21">
        <v>3</v>
      </c>
      <c r="Q9" s="21">
        <v>3</v>
      </c>
      <c r="R9" s="21"/>
      <c r="S9" s="21"/>
      <c r="T9" s="21"/>
    </row>
    <row r="10" spans="1:20" s="1" customFormat="1" ht="14.1" customHeight="1" x14ac:dyDescent="0.2">
      <c r="A10" s="9" t="s">
        <v>176</v>
      </c>
      <c r="B10" s="8" t="s">
        <v>175</v>
      </c>
      <c r="C10" s="4">
        <v>34</v>
      </c>
      <c r="D10" s="6">
        <v>44.588235294117645</v>
      </c>
      <c r="E10" s="4">
        <v>1</v>
      </c>
      <c r="F10" s="4"/>
      <c r="G10" s="4">
        <v>7</v>
      </c>
      <c r="H10" s="4">
        <v>3</v>
      </c>
      <c r="I10" s="4">
        <v>4</v>
      </c>
      <c r="J10" s="4">
        <v>3</v>
      </c>
      <c r="K10" s="4">
        <v>4</v>
      </c>
      <c r="L10" s="4">
        <v>1</v>
      </c>
      <c r="M10" s="4">
        <v>4</v>
      </c>
      <c r="N10" s="4">
        <v>3</v>
      </c>
      <c r="O10" s="4">
        <v>2</v>
      </c>
      <c r="P10" s="4">
        <v>1</v>
      </c>
      <c r="Q10" s="4">
        <v>1</v>
      </c>
      <c r="R10" s="4"/>
      <c r="S10" s="4"/>
      <c r="T10" s="4"/>
    </row>
    <row r="11" spans="1:20" s="1" customFormat="1" ht="14.1" customHeight="1" x14ac:dyDescent="0.2">
      <c r="A11" s="12" t="s">
        <v>192</v>
      </c>
      <c r="B11" s="17" t="s">
        <v>191</v>
      </c>
      <c r="C11" s="20">
        <v>202</v>
      </c>
      <c r="D11" s="30">
        <v>42.475247524752476</v>
      </c>
      <c r="E11" s="20"/>
      <c r="F11" s="20">
        <v>19</v>
      </c>
      <c r="G11" s="20">
        <v>25</v>
      </c>
      <c r="H11" s="20">
        <v>25</v>
      </c>
      <c r="I11" s="20">
        <v>32</v>
      </c>
      <c r="J11" s="20">
        <v>19</v>
      </c>
      <c r="K11" s="20">
        <v>19</v>
      </c>
      <c r="L11" s="20">
        <v>20</v>
      </c>
      <c r="M11" s="20">
        <v>15</v>
      </c>
      <c r="N11" s="20">
        <v>12</v>
      </c>
      <c r="O11" s="20">
        <v>6</v>
      </c>
      <c r="P11" s="20">
        <v>4</v>
      </c>
      <c r="Q11" s="20">
        <v>6</v>
      </c>
      <c r="R11" s="20"/>
      <c r="S11" s="20"/>
      <c r="T11" s="20"/>
    </row>
    <row r="12" spans="1:20" s="1" customFormat="1" ht="18.2" customHeight="1" x14ac:dyDescent="0.2">
      <c r="A12" s="12" t="s">
        <v>172</v>
      </c>
      <c r="B12" s="8" t="s">
        <v>171</v>
      </c>
      <c r="C12" s="25">
        <v>56</v>
      </c>
      <c r="D12" s="29">
        <v>43.982142857142854</v>
      </c>
      <c r="E12" s="25"/>
      <c r="F12" s="25">
        <v>4</v>
      </c>
      <c r="G12" s="20">
        <v>5</v>
      </c>
      <c r="H12" s="20">
        <v>6</v>
      </c>
      <c r="I12" s="20">
        <v>10</v>
      </c>
      <c r="J12" s="20">
        <v>7</v>
      </c>
      <c r="K12" s="20">
        <v>6</v>
      </c>
      <c r="L12" s="20">
        <v>7</v>
      </c>
      <c r="M12" s="20">
        <v>3</v>
      </c>
      <c r="N12" s="20">
        <v>3</v>
      </c>
      <c r="O12" s="20">
        <v>2</v>
      </c>
      <c r="P12" s="20"/>
      <c r="Q12" s="20">
        <v>3</v>
      </c>
      <c r="R12" s="20"/>
      <c r="S12" s="20"/>
      <c r="T12" s="20"/>
    </row>
    <row r="13" spans="1:20" s="1" customFormat="1" ht="22.7" customHeight="1" x14ac:dyDescent="0.2">
      <c r="A13" s="10" t="s">
        <v>190</v>
      </c>
      <c r="B13" s="15" t="s">
        <v>189</v>
      </c>
      <c r="C13" s="4">
        <v>103</v>
      </c>
      <c r="D13" s="6">
        <v>39.95145631067961</v>
      </c>
      <c r="E13" s="4"/>
      <c r="F13" s="4">
        <v>9</v>
      </c>
      <c r="G13" s="4">
        <v>16</v>
      </c>
      <c r="H13" s="4">
        <v>16</v>
      </c>
      <c r="I13" s="4">
        <v>19</v>
      </c>
      <c r="J13" s="4">
        <v>10</v>
      </c>
      <c r="K13" s="4">
        <v>12</v>
      </c>
      <c r="L13" s="4">
        <v>4</v>
      </c>
      <c r="M13" s="4">
        <v>7</v>
      </c>
      <c r="N13" s="4">
        <v>2</v>
      </c>
      <c r="O13" s="4">
        <v>6</v>
      </c>
      <c r="P13" s="4">
        <v>1</v>
      </c>
      <c r="Q13" s="4">
        <v>1</v>
      </c>
      <c r="R13" s="4"/>
      <c r="S13" s="4"/>
      <c r="T13" s="4"/>
    </row>
    <row r="14" spans="1:20" s="1" customFormat="1" ht="14.1" customHeight="1" x14ac:dyDescent="0.2">
      <c r="A14" s="11" t="s">
        <v>182</v>
      </c>
      <c r="B14" s="16" t="s">
        <v>181</v>
      </c>
      <c r="C14" s="19">
        <v>26</v>
      </c>
      <c r="D14" s="27">
        <v>47.269230769230766</v>
      </c>
      <c r="E14" s="19"/>
      <c r="F14" s="19">
        <v>3</v>
      </c>
      <c r="G14" s="19">
        <v>2</v>
      </c>
      <c r="H14" s="19">
        <v>3</v>
      </c>
      <c r="I14" s="19">
        <v>4</v>
      </c>
      <c r="J14" s="19">
        <v>4</v>
      </c>
      <c r="K14" s="19"/>
      <c r="L14" s="19">
        <v>1</v>
      </c>
      <c r="M14" s="19">
        <v>1</v>
      </c>
      <c r="N14" s="19">
        <v>3</v>
      </c>
      <c r="O14" s="19">
        <v>1</v>
      </c>
      <c r="P14" s="19"/>
      <c r="Q14" s="19">
        <v>4</v>
      </c>
      <c r="R14" s="19"/>
      <c r="S14" s="19"/>
      <c r="T14" s="19"/>
    </row>
    <row r="15" spans="1:20" s="1" customFormat="1" ht="14.1" customHeight="1" x14ac:dyDescent="0.2">
      <c r="A15" s="13">
        <v>200017341</v>
      </c>
      <c r="B15" s="16" t="s">
        <v>168</v>
      </c>
      <c r="C15" s="19">
        <v>18</v>
      </c>
      <c r="D15" s="27">
        <v>36</v>
      </c>
      <c r="E15" s="19">
        <v>1</v>
      </c>
      <c r="F15" s="19">
        <v>1</v>
      </c>
      <c r="G15" s="19">
        <v>2</v>
      </c>
      <c r="H15" s="19">
        <v>4</v>
      </c>
      <c r="I15" s="19">
        <v>4</v>
      </c>
      <c r="J15" s="19">
        <v>3</v>
      </c>
      <c r="K15" s="19">
        <v>1</v>
      </c>
      <c r="L15" s="19">
        <v>1</v>
      </c>
      <c r="M15" s="19"/>
      <c r="N15" s="19">
        <v>1</v>
      </c>
      <c r="O15" s="19"/>
      <c r="P15" s="19"/>
      <c r="Q15" s="19"/>
      <c r="R15" s="19"/>
      <c r="S15" s="19"/>
      <c r="T15" s="19"/>
    </row>
    <row r="16" spans="1:20" s="1" customFormat="1" ht="14.1" customHeight="1" x14ac:dyDescent="0.2">
      <c r="A16" s="14" t="s">
        <v>174</v>
      </c>
      <c r="B16" s="18" t="s">
        <v>173</v>
      </c>
      <c r="C16" s="21">
        <v>18</v>
      </c>
      <c r="D16" s="28">
        <v>42.5</v>
      </c>
      <c r="E16" s="21"/>
      <c r="F16" s="21">
        <v>1</v>
      </c>
      <c r="G16" s="21">
        <v>3</v>
      </c>
      <c r="H16" s="21">
        <v>3</v>
      </c>
      <c r="I16" s="21">
        <v>2</v>
      </c>
      <c r="J16" s="21">
        <v>2</v>
      </c>
      <c r="K16" s="21">
        <v>2</v>
      </c>
      <c r="L16" s="21">
        <v>2</v>
      </c>
      <c r="M16" s="21">
        <v>1</v>
      </c>
      <c r="N16" s="21"/>
      <c r="O16" s="21">
        <v>1</v>
      </c>
      <c r="P16" s="21"/>
      <c r="Q16" s="21">
        <v>1</v>
      </c>
      <c r="R16" s="21"/>
      <c r="S16" s="21"/>
      <c r="T16" s="21"/>
    </row>
    <row r="17" spans="1:20" s="1" customFormat="1" ht="14.1" customHeight="1" x14ac:dyDescent="0.2">
      <c r="A17" s="14" t="s">
        <v>194</v>
      </c>
      <c r="B17" s="18" t="s">
        <v>193</v>
      </c>
      <c r="C17" s="21">
        <v>44</v>
      </c>
      <c r="D17" s="28">
        <v>45.227272727272727</v>
      </c>
      <c r="E17" s="21"/>
      <c r="F17" s="21">
        <v>5</v>
      </c>
      <c r="G17" s="21">
        <v>6</v>
      </c>
      <c r="H17" s="21">
        <v>2</v>
      </c>
      <c r="I17" s="21">
        <v>4</v>
      </c>
      <c r="J17" s="21">
        <v>5</v>
      </c>
      <c r="K17" s="21">
        <v>5</v>
      </c>
      <c r="L17" s="21">
        <v>5</v>
      </c>
      <c r="M17" s="21">
        <v>3</v>
      </c>
      <c r="N17" s="21">
        <v>3</v>
      </c>
      <c r="O17" s="21">
        <v>1</v>
      </c>
      <c r="P17" s="21">
        <v>3</v>
      </c>
      <c r="Q17" s="21">
        <v>2</v>
      </c>
      <c r="R17" s="21"/>
      <c r="S17" s="21"/>
      <c r="T17" s="21"/>
    </row>
    <row r="18" spans="1:20" s="1" customFormat="1" ht="14.1" customHeight="1" x14ac:dyDescent="0.2">
      <c r="A18" s="9" t="s">
        <v>184</v>
      </c>
      <c r="B18" s="8" t="s">
        <v>183</v>
      </c>
      <c r="C18" s="4">
        <v>3029</v>
      </c>
      <c r="D18" s="6">
        <v>40.916474083856059</v>
      </c>
      <c r="E18" s="4">
        <v>36</v>
      </c>
      <c r="F18" s="4">
        <v>213</v>
      </c>
      <c r="G18" s="4">
        <v>436</v>
      </c>
      <c r="H18" s="4">
        <v>479</v>
      </c>
      <c r="I18" s="4">
        <v>452</v>
      </c>
      <c r="J18" s="4">
        <v>359</v>
      </c>
      <c r="K18" s="4">
        <v>286</v>
      </c>
      <c r="L18" s="4">
        <v>253</v>
      </c>
      <c r="M18" s="4">
        <v>184</v>
      </c>
      <c r="N18" s="4">
        <v>136</v>
      </c>
      <c r="O18" s="4">
        <v>76</v>
      </c>
      <c r="P18" s="4">
        <v>53</v>
      </c>
      <c r="Q18" s="4">
        <v>66</v>
      </c>
      <c r="R18" s="4"/>
      <c r="S18" s="4"/>
      <c r="T18" s="4"/>
    </row>
    <row r="19" spans="1:20" s="1" customFormat="1" ht="30" customHeight="1" x14ac:dyDescent="0.2"/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2" sqref="A2:O2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3" width="10" customWidth="1"/>
    <col min="4" max="4" width="10.7109375" customWidth="1"/>
    <col min="5" max="14" width="10" customWidth="1"/>
  </cols>
  <sheetData>
    <row r="1" spans="1:14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32</v>
      </c>
      <c r="E1" s="2" t="s">
        <v>33</v>
      </c>
      <c r="F1" s="2" t="s">
        <v>34</v>
      </c>
      <c r="G1" s="2" t="s">
        <v>35</v>
      </c>
      <c r="H1" s="2" t="s">
        <v>36</v>
      </c>
      <c r="I1" s="2" t="s">
        <v>37</v>
      </c>
      <c r="J1" s="2" t="s">
        <v>38</v>
      </c>
      <c r="K1" s="2" t="s">
        <v>39</v>
      </c>
      <c r="L1" s="2" t="s">
        <v>40</v>
      </c>
      <c r="M1" s="2" t="s">
        <v>26</v>
      </c>
      <c r="N1" s="2" t="s">
        <v>27</v>
      </c>
    </row>
    <row r="2" spans="1:14" s="1" customFormat="1" ht="14.1" customHeight="1" x14ac:dyDescent="0.2">
      <c r="A2" s="14" t="s">
        <v>198</v>
      </c>
      <c r="B2" s="18" t="s">
        <v>197</v>
      </c>
      <c r="C2" s="21">
        <v>893</v>
      </c>
      <c r="D2" s="24">
        <v>2.2452407614781635</v>
      </c>
      <c r="E2" s="21">
        <v>346</v>
      </c>
      <c r="F2" s="21">
        <v>235</v>
      </c>
      <c r="G2" s="21">
        <v>162</v>
      </c>
      <c r="H2" s="21">
        <v>79</v>
      </c>
      <c r="I2" s="21">
        <v>46</v>
      </c>
      <c r="J2" s="21">
        <v>21</v>
      </c>
      <c r="K2" s="21">
        <v>1</v>
      </c>
      <c r="L2" s="21">
        <v>3</v>
      </c>
      <c r="M2" s="21"/>
      <c r="N2" s="21"/>
    </row>
    <row r="3" spans="1:14" s="1" customFormat="1" ht="14.1" customHeight="1" x14ac:dyDescent="0.2">
      <c r="A3" s="14" t="s">
        <v>188</v>
      </c>
      <c r="B3" s="18" t="s">
        <v>187</v>
      </c>
      <c r="C3" s="21">
        <v>141</v>
      </c>
      <c r="D3" s="24">
        <v>1.7021276595744681</v>
      </c>
      <c r="E3" s="21">
        <v>83</v>
      </c>
      <c r="F3" s="21">
        <v>34</v>
      </c>
      <c r="G3" s="21">
        <v>14</v>
      </c>
      <c r="H3" s="21">
        <v>5</v>
      </c>
      <c r="I3" s="21">
        <v>4</v>
      </c>
      <c r="J3" s="21"/>
      <c r="K3" s="21">
        <v>1</v>
      </c>
      <c r="L3" s="21"/>
      <c r="M3" s="21"/>
      <c r="N3" s="21"/>
    </row>
    <row r="4" spans="1:14" s="1" customFormat="1" ht="14.1" customHeight="1" x14ac:dyDescent="0.2">
      <c r="A4" s="9" t="s">
        <v>200</v>
      </c>
      <c r="B4" s="8" t="s">
        <v>199</v>
      </c>
      <c r="C4" s="4">
        <v>432</v>
      </c>
      <c r="D4" s="5">
        <v>2.4699074074074074</v>
      </c>
      <c r="E4" s="4">
        <v>132</v>
      </c>
      <c r="F4" s="4">
        <v>115</v>
      </c>
      <c r="G4" s="4">
        <v>94</v>
      </c>
      <c r="H4" s="4">
        <v>54</v>
      </c>
      <c r="I4" s="4">
        <v>24</v>
      </c>
      <c r="J4" s="4">
        <v>7</v>
      </c>
      <c r="K4" s="4">
        <v>3</v>
      </c>
      <c r="L4" s="4">
        <v>3</v>
      </c>
      <c r="M4" s="4"/>
      <c r="N4" s="4"/>
    </row>
    <row r="5" spans="1:14" s="1" customFormat="1" ht="14.1" customHeight="1" x14ac:dyDescent="0.2">
      <c r="A5" s="12" t="s">
        <v>178</v>
      </c>
      <c r="B5" s="17" t="s">
        <v>177</v>
      </c>
      <c r="C5" s="20">
        <v>405</v>
      </c>
      <c r="D5" s="23">
        <v>2.4345679012345678</v>
      </c>
      <c r="E5" s="20">
        <v>125</v>
      </c>
      <c r="F5" s="20">
        <v>115</v>
      </c>
      <c r="G5" s="20">
        <v>76</v>
      </c>
      <c r="H5" s="20">
        <v>56</v>
      </c>
      <c r="I5" s="20">
        <v>23</v>
      </c>
      <c r="J5" s="20">
        <v>7</v>
      </c>
      <c r="K5" s="20">
        <v>2</v>
      </c>
      <c r="L5" s="20">
        <v>1</v>
      </c>
      <c r="M5" s="20"/>
      <c r="N5" s="20"/>
    </row>
    <row r="6" spans="1:14" s="1" customFormat="1" ht="18.2" customHeight="1" x14ac:dyDescent="0.2">
      <c r="A6" s="12" t="s">
        <v>196</v>
      </c>
      <c r="B6" s="8" t="s">
        <v>195</v>
      </c>
      <c r="C6" s="25">
        <v>10</v>
      </c>
      <c r="D6" s="26">
        <v>3.1</v>
      </c>
      <c r="E6" s="25"/>
      <c r="F6" s="20">
        <v>3</v>
      </c>
      <c r="G6" s="20">
        <v>4</v>
      </c>
      <c r="H6" s="20">
        <v>2</v>
      </c>
      <c r="I6" s="20">
        <v>1</v>
      </c>
      <c r="J6" s="20"/>
      <c r="K6" s="20"/>
      <c r="L6" s="20"/>
      <c r="M6" s="20"/>
      <c r="N6" s="20"/>
    </row>
    <row r="7" spans="1:14" s="1" customFormat="1" ht="22.7" customHeight="1" x14ac:dyDescent="0.2">
      <c r="A7" s="10" t="s">
        <v>180</v>
      </c>
      <c r="B7" s="15" t="s">
        <v>179</v>
      </c>
      <c r="C7" s="4">
        <v>10</v>
      </c>
      <c r="D7" s="5">
        <v>2</v>
      </c>
      <c r="E7" s="4">
        <v>4</v>
      </c>
      <c r="F7" s="4">
        <v>2</v>
      </c>
      <c r="G7" s="4">
        <v>4</v>
      </c>
      <c r="H7" s="4"/>
      <c r="I7" s="4"/>
      <c r="J7" s="4"/>
      <c r="K7" s="4"/>
      <c r="L7" s="4"/>
      <c r="M7" s="4"/>
      <c r="N7" s="4"/>
    </row>
    <row r="8" spans="1:14" s="1" customFormat="1" ht="14.1" customHeight="1" x14ac:dyDescent="0.2">
      <c r="A8" s="14" t="s">
        <v>186</v>
      </c>
      <c r="B8" s="18" t="s">
        <v>185</v>
      </c>
      <c r="C8" s="21">
        <v>117</v>
      </c>
      <c r="D8" s="24">
        <v>2.5470085470085468</v>
      </c>
      <c r="E8" s="21">
        <v>30</v>
      </c>
      <c r="F8" s="21">
        <v>35</v>
      </c>
      <c r="G8" s="21">
        <v>23</v>
      </c>
      <c r="H8" s="21">
        <v>20</v>
      </c>
      <c r="I8" s="21">
        <v>6</v>
      </c>
      <c r="J8" s="21">
        <v>2</v>
      </c>
      <c r="K8" s="21">
        <v>1</v>
      </c>
      <c r="L8" s="21"/>
      <c r="M8" s="21"/>
      <c r="N8" s="21"/>
    </row>
    <row r="9" spans="1:14" s="1" customFormat="1" ht="14.1" customHeight="1" x14ac:dyDescent="0.2">
      <c r="A9" s="14" t="s">
        <v>170</v>
      </c>
      <c r="B9" s="18" t="s">
        <v>169</v>
      </c>
      <c r="C9" s="21">
        <v>76</v>
      </c>
      <c r="D9" s="24">
        <v>2.1315789473684212</v>
      </c>
      <c r="E9" s="21">
        <v>33</v>
      </c>
      <c r="F9" s="21">
        <v>18</v>
      </c>
      <c r="G9" s="21">
        <v>11</v>
      </c>
      <c r="H9" s="21">
        <v>10</v>
      </c>
      <c r="I9" s="21">
        <v>4</v>
      </c>
      <c r="J9" s="21"/>
      <c r="K9" s="21"/>
      <c r="L9" s="21"/>
      <c r="M9" s="21"/>
      <c r="N9" s="21"/>
    </row>
    <row r="10" spans="1:14" s="1" customFormat="1" ht="14.1" customHeight="1" x14ac:dyDescent="0.2">
      <c r="A10" s="9" t="s">
        <v>176</v>
      </c>
      <c r="B10" s="8" t="s">
        <v>175</v>
      </c>
      <c r="C10" s="4">
        <v>34</v>
      </c>
      <c r="D10" s="5">
        <v>2.4117647058823528</v>
      </c>
      <c r="E10" s="4">
        <v>12</v>
      </c>
      <c r="F10" s="4">
        <v>11</v>
      </c>
      <c r="G10" s="4">
        <v>4</v>
      </c>
      <c r="H10" s="4">
        <v>3</v>
      </c>
      <c r="I10" s="4">
        <v>1</v>
      </c>
      <c r="J10" s="4">
        <v>2</v>
      </c>
      <c r="K10" s="4">
        <v>1</v>
      </c>
      <c r="L10" s="4"/>
      <c r="M10" s="4"/>
      <c r="N10" s="4"/>
    </row>
    <row r="11" spans="1:14" s="1" customFormat="1" ht="14.1" customHeight="1" x14ac:dyDescent="0.2">
      <c r="A11" s="12" t="s">
        <v>192</v>
      </c>
      <c r="B11" s="17" t="s">
        <v>191</v>
      </c>
      <c r="C11" s="20">
        <v>202</v>
      </c>
      <c r="D11" s="23">
        <v>2.217821782178218</v>
      </c>
      <c r="E11" s="20">
        <v>69</v>
      </c>
      <c r="F11" s="20">
        <v>64</v>
      </c>
      <c r="G11" s="20">
        <v>40</v>
      </c>
      <c r="H11" s="20">
        <v>20</v>
      </c>
      <c r="I11" s="20">
        <v>4</v>
      </c>
      <c r="J11" s="20">
        <v>4</v>
      </c>
      <c r="K11" s="20">
        <v>1</v>
      </c>
      <c r="L11" s="20"/>
      <c r="M11" s="20"/>
      <c r="N11" s="20"/>
    </row>
    <row r="12" spans="1:14" s="1" customFormat="1" ht="18.2" customHeight="1" x14ac:dyDescent="0.2">
      <c r="A12" s="12" t="s">
        <v>172</v>
      </c>
      <c r="B12" s="8" t="s">
        <v>171</v>
      </c>
      <c r="C12" s="25">
        <v>56</v>
      </c>
      <c r="D12" s="26">
        <v>2.5178571428571428</v>
      </c>
      <c r="E12" s="25">
        <v>13</v>
      </c>
      <c r="F12" s="20">
        <v>20</v>
      </c>
      <c r="G12" s="20">
        <v>11</v>
      </c>
      <c r="H12" s="20">
        <v>8</v>
      </c>
      <c r="I12" s="20">
        <v>2</v>
      </c>
      <c r="J12" s="20">
        <v>1</v>
      </c>
      <c r="K12" s="20">
        <v>1</v>
      </c>
      <c r="L12" s="20"/>
      <c r="M12" s="20"/>
      <c r="N12" s="20"/>
    </row>
    <row r="13" spans="1:14" s="1" customFormat="1" ht="22.7" customHeight="1" x14ac:dyDescent="0.2">
      <c r="A13" s="10" t="s">
        <v>190</v>
      </c>
      <c r="B13" s="15" t="s">
        <v>189</v>
      </c>
      <c r="C13" s="4">
        <v>103</v>
      </c>
      <c r="D13" s="5">
        <v>2.5242718446601944</v>
      </c>
      <c r="E13" s="4">
        <v>25</v>
      </c>
      <c r="F13" s="4">
        <v>31</v>
      </c>
      <c r="G13" s="4">
        <v>27</v>
      </c>
      <c r="H13" s="4">
        <v>11</v>
      </c>
      <c r="I13" s="4">
        <v>6</v>
      </c>
      <c r="J13" s="4">
        <v>3</v>
      </c>
      <c r="K13" s="4"/>
      <c r="L13" s="4"/>
      <c r="M13" s="4"/>
      <c r="N13" s="4"/>
    </row>
    <row r="14" spans="1:14" s="1" customFormat="1" ht="14.1" customHeight="1" x14ac:dyDescent="0.2">
      <c r="A14" s="11" t="s">
        <v>182</v>
      </c>
      <c r="B14" s="16" t="s">
        <v>181</v>
      </c>
      <c r="C14" s="19">
        <v>26</v>
      </c>
      <c r="D14" s="22">
        <v>2.3846153846153846</v>
      </c>
      <c r="E14" s="19">
        <v>9</v>
      </c>
      <c r="F14" s="19">
        <v>7</v>
      </c>
      <c r="G14" s="19">
        <v>4</v>
      </c>
      <c r="H14" s="19">
        <v>3</v>
      </c>
      <c r="I14" s="19">
        <v>3</v>
      </c>
      <c r="J14" s="19"/>
      <c r="K14" s="19"/>
      <c r="L14" s="19"/>
      <c r="M14" s="19"/>
      <c r="N14" s="19"/>
    </row>
    <row r="15" spans="1:14" s="1" customFormat="1" ht="14.1" customHeight="1" x14ac:dyDescent="0.2">
      <c r="A15" s="13">
        <v>200017341</v>
      </c>
      <c r="B15" s="16" t="s">
        <v>168</v>
      </c>
      <c r="C15" s="19">
        <v>18</v>
      </c>
      <c r="D15" s="22">
        <v>3.3333333333333335</v>
      </c>
      <c r="E15" s="19">
        <v>2</v>
      </c>
      <c r="F15" s="19">
        <v>4</v>
      </c>
      <c r="G15" s="19">
        <v>5</v>
      </c>
      <c r="H15" s="19">
        <v>3</v>
      </c>
      <c r="I15" s="19">
        <v>2</v>
      </c>
      <c r="J15" s="19">
        <v>1</v>
      </c>
      <c r="K15" s="19">
        <v>1</v>
      </c>
      <c r="L15" s="19"/>
      <c r="M15" s="19"/>
      <c r="N15" s="19"/>
    </row>
    <row r="16" spans="1:14" s="1" customFormat="1" ht="14.1" customHeight="1" x14ac:dyDescent="0.2">
      <c r="A16" s="14" t="s">
        <v>174</v>
      </c>
      <c r="B16" s="18" t="s">
        <v>173</v>
      </c>
      <c r="C16" s="21">
        <v>18</v>
      </c>
      <c r="D16" s="24">
        <v>3.1111111111111112</v>
      </c>
      <c r="E16" s="21">
        <v>2</v>
      </c>
      <c r="F16" s="21">
        <v>6</v>
      </c>
      <c r="G16" s="21">
        <v>4</v>
      </c>
      <c r="H16" s="21">
        <v>1</v>
      </c>
      <c r="I16" s="21">
        <v>4</v>
      </c>
      <c r="J16" s="21">
        <v>1</v>
      </c>
      <c r="K16" s="21"/>
      <c r="L16" s="21"/>
      <c r="M16" s="21"/>
      <c r="N16" s="21"/>
    </row>
    <row r="17" spans="1:14" s="1" customFormat="1" ht="14.1" customHeight="1" x14ac:dyDescent="0.2">
      <c r="A17" s="14" t="s">
        <v>194</v>
      </c>
      <c r="B17" s="18" t="s">
        <v>193</v>
      </c>
      <c r="C17" s="21">
        <v>44</v>
      </c>
      <c r="D17" s="24">
        <v>2.0909090909090908</v>
      </c>
      <c r="E17" s="21">
        <v>18</v>
      </c>
      <c r="F17" s="21">
        <v>12</v>
      </c>
      <c r="G17" s="21">
        <v>9</v>
      </c>
      <c r="H17" s="21">
        <v>3</v>
      </c>
      <c r="I17" s="21">
        <v>1</v>
      </c>
      <c r="J17" s="21">
        <v>1</v>
      </c>
      <c r="K17" s="21"/>
      <c r="L17" s="21"/>
      <c r="M17" s="21"/>
      <c r="N17" s="21"/>
    </row>
    <row r="18" spans="1:14" s="1" customFormat="1" ht="14.1" customHeight="1" x14ac:dyDescent="0.2">
      <c r="A18" s="9" t="s">
        <v>184</v>
      </c>
      <c r="B18" s="8" t="s">
        <v>183</v>
      </c>
      <c r="C18" s="4">
        <v>3029</v>
      </c>
      <c r="D18" s="5">
        <v>2.3479696269395842</v>
      </c>
      <c r="E18" s="4">
        <v>1021</v>
      </c>
      <c r="F18" s="4">
        <v>847</v>
      </c>
      <c r="G18" s="4">
        <v>586</v>
      </c>
      <c r="H18" s="4">
        <v>326</v>
      </c>
      <c r="I18" s="4">
        <v>175</v>
      </c>
      <c r="J18" s="4">
        <v>61</v>
      </c>
      <c r="K18" s="4">
        <v>10</v>
      </c>
      <c r="L18" s="4">
        <v>3</v>
      </c>
      <c r="M18" s="4"/>
      <c r="N18" s="4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A2" sqref="A2:O2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4" width="10" customWidth="1"/>
    <col min="5" max="12" width="15.42578125" customWidth="1"/>
  </cols>
  <sheetData>
    <row r="1" spans="1:12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s="1" customFormat="1" ht="14.1" customHeight="1" x14ac:dyDescent="0.2">
      <c r="A2" s="14" t="s">
        <v>184</v>
      </c>
      <c r="B2" s="18" t="s">
        <v>183</v>
      </c>
      <c r="C2" s="21">
        <v>3029</v>
      </c>
      <c r="D2" s="24">
        <v>23.382389588813506</v>
      </c>
      <c r="E2" s="21">
        <v>1303</v>
      </c>
      <c r="F2" s="21">
        <v>749</v>
      </c>
      <c r="G2" s="21">
        <v>378</v>
      </c>
      <c r="H2" s="21">
        <v>185</v>
      </c>
      <c r="I2" s="21">
        <v>142</v>
      </c>
      <c r="J2" s="21">
        <v>242</v>
      </c>
      <c r="K2" s="21">
        <v>30</v>
      </c>
      <c r="L2" s="21"/>
    </row>
    <row r="3" spans="1:12" s="1" customFormat="1" ht="14.1" customHeight="1" x14ac:dyDescent="0.2">
      <c r="A3" s="14" t="s">
        <v>194</v>
      </c>
      <c r="B3" s="18" t="s">
        <v>193</v>
      </c>
      <c r="C3" s="21">
        <v>44</v>
      </c>
      <c r="D3" s="24">
        <v>12.92155425219941</v>
      </c>
      <c r="E3" s="21">
        <v>27</v>
      </c>
      <c r="F3" s="21">
        <v>9</v>
      </c>
      <c r="G3" s="21">
        <v>6</v>
      </c>
      <c r="H3" s="21">
        <v>1</v>
      </c>
      <c r="I3" s="21">
        <v>1</v>
      </c>
      <c r="J3" s="21"/>
      <c r="K3" s="21"/>
      <c r="L3" s="21"/>
    </row>
    <row r="4" spans="1:12" s="1" customFormat="1" ht="14.1" customHeight="1" x14ac:dyDescent="0.2">
      <c r="A4" s="9" t="s">
        <v>174</v>
      </c>
      <c r="B4" s="8" t="s">
        <v>173</v>
      </c>
      <c r="C4" s="4">
        <v>18</v>
      </c>
      <c r="D4" s="5">
        <v>17.035842293906807</v>
      </c>
      <c r="E4" s="4">
        <v>9</v>
      </c>
      <c r="F4" s="4">
        <v>6</v>
      </c>
      <c r="G4" s="4">
        <v>1</v>
      </c>
      <c r="H4" s="4">
        <v>1</v>
      </c>
      <c r="I4" s="4"/>
      <c r="J4" s="4">
        <v>1</v>
      </c>
      <c r="K4" s="4"/>
      <c r="L4" s="4"/>
    </row>
    <row r="5" spans="1:12" s="1" customFormat="1" ht="14.1" customHeight="1" x14ac:dyDescent="0.2">
      <c r="A5" s="1">
        <v>200017341</v>
      </c>
      <c r="B5" s="17" t="s">
        <v>168</v>
      </c>
      <c r="C5" s="20">
        <v>18</v>
      </c>
      <c r="D5" s="23">
        <v>15.503584229390677</v>
      </c>
      <c r="E5" s="20">
        <v>11</v>
      </c>
      <c r="F5" s="20">
        <v>3</v>
      </c>
      <c r="G5" s="20">
        <v>2</v>
      </c>
      <c r="H5" s="20">
        <v>1</v>
      </c>
      <c r="I5" s="20">
        <v>1</v>
      </c>
      <c r="J5" s="20"/>
      <c r="K5" s="20"/>
      <c r="L5" s="20"/>
    </row>
    <row r="6" spans="1:12" s="1" customFormat="1" ht="18.2" customHeight="1" x14ac:dyDescent="0.2">
      <c r="A6" s="12" t="s">
        <v>182</v>
      </c>
      <c r="B6" s="8" t="s">
        <v>181</v>
      </c>
      <c r="C6" s="25">
        <v>26</v>
      </c>
      <c r="D6" s="26">
        <v>14.491315136476421</v>
      </c>
      <c r="E6" s="25">
        <v>18</v>
      </c>
      <c r="F6" s="20">
        <v>4</v>
      </c>
      <c r="G6" s="20">
        <v>1</v>
      </c>
      <c r="H6" s="20">
        <v>1</v>
      </c>
      <c r="I6" s="20">
        <v>1</v>
      </c>
      <c r="J6" s="20">
        <v>1</v>
      </c>
      <c r="K6" s="20"/>
      <c r="L6" s="20"/>
    </row>
    <row r="7" spans="1:12" s="1" customFormat="1" ht="22.7" customHeight="1" x14ac:dyDescent="0.2">
      <c r="A7" s="10" t="s">
        <v>190</v>
      </c>
      <c r="B7" s="15" t="s">
        <v>189</v>
      </c>
      <c r="C7" s="4">
        <v>103</v>
      </c>
      <c r="D7" s="5">
        <v>15.114312558722203</v>
      </c>
      <c r="E7" s="4">
        <v>62</v>
      </c>
      <c r="F7" s="4">
        <v>26</v>
      </c>
      <c r="G7" s="4">
        <v>7</v>
      </c>
      <c r="H7" s="4">
        <v>1</v>
      </c>
      <c r="I7" s="4">
        <v>2</v>
      </c>
      <c r="J7" s="4">
        <v>5</v>
      </c>
      <c r="K7" s="4"/>
      <c r="L7" s="4"/>
    </row>
    <row r="8" spans="1:12" s="1" customFormat="1" ht="14.1" customHeight="1" x14ac:dyDescent="0.2">
      <c r="A8" s="14" t="s">
        <v>172</v>
      </c>
      <c r="B8" s="18" t="s">
        <v>171</v>
      </c>
      <c r="C8" s="21">
        <v>56</v>
      </c>
      <c r="D8" s="24">
        <v>11.210253456221196</v>
      </c>
      <c r="E8" s="21">
        <v>39</v>
      </c>
      <c r="F8" s="21">
        <v>9</v>
      </c>
      <c r="G8" s="21">
        <v>6</v>
      </c>
      <c r="H8" s="21">
        <v>1</v>
      </c>
      <c r="I8" s="21"/>
      <c r="J8" s="21">
        <v>1</v>
      </c>
      <c r="K8" s="21"/>
      <c r="L8" s="21"/>
    </row>
    <row r="9" spans="1:12" s="1" customFormat="1" ht="14.1" customHeight="1" x14ac:dyDescent="0.2">
      <c r="A9" s="14" t="s">
        <v>192</v>
      </c>
      <c r="B9" s="18" t="s">
        <v>191</v>
      </c>
      <c r="C9" s="21">
        <v>202</v>
      </c>
      <c r="D9" s="24">
        <v>21.87432130309805</v>
      </c>
      <c r="E9" s="21">
        <v>75</v>
      </c>
      <c r="F9" s="21">
        <v>71</v>
      </c>
      <c r="G9" s="21">
        <v>25</v>
      </c>
      <c r="H9" s="21">
        <v>11</v>
      </c>
      <c r="I9" s="21">
        <v>7</v>
      </c>
      <c r="J9" s="21">
        <v>11</v>
      </c>
      <c r="K9" s="21">
        <v>2</v>
      </c>
      <c r="L9" s="21"/>
    </row>
    <row r="10" spans="1:12" s="1" customFormat="1" ht="14.1" customHeight="1" x14ac:dyDescent="0.2">
      <c r="A10" s="9" t="s">
        <v>176</v>
      </c>
      <c r="B10" s="8" t="s">
        <v>175</v>
      </c>
      <c r="C10" s="4">
        <v>34</v>
      </c>
      <c r="D10" s="5">
        <v>5.9070208728652753</v>
      </c>
      <c r="E10" s="4">
        <v>29</v>
      </c>
      <c r="F10" s="4">
        <v>3</v>
      </c>
      <c r="G10" s="4">
        <v>1</v>
      </c>
      <c r="H10" s="4">
        <v>1</v>
      </c>
      <c r="I10" s="4"/>
      <c r="J10" s="4"/>
      <c r="K10" s="4"/>
      <c r="L10" s="4"/>
    </row>
    <row r="11" spans="1:12" s="1" customFormat="1" ht="14.1" customHeight="1" x14ac:dyDescent="0.2">
      <c r="A11" s="12" t="s">
        <v>170</v>
      </c>
      <c r="B11" s="17" t="s">
        <v>169</v>
      </c>
      <c r="C11" s="20">
        <v>76</v>
      </c>
      <c r="D11" s="23">
        <v>22.485993208828525</v>
      </c>
      <c r="E11" s="20">
        <v>35</v>
      </c>
      <c r="F11" s="20">
        <v>16</v>
      </c>
      <c r="G11" s="20">
        <v>15</v>
      </c>
      <c r="H11" s="20">
        <v>2</v>
      </c>
      <c r="I11" s="20"/>
      <c r="J11" s="20">
        <v>8</v>
      </c>
      <c r="K11" s="20"/>
      <c r="L11" s="20"/>
    </row>
    <row r="12" spans="1:12" s="1" customFormat="1" ht="18.2" customHeight="1" x14ac:dyDescent="0.2">
      <c r="A12" s="12" t="s">
        <v>186</v>
      </c>
      <c r="B12" s="8" t="s">
        <v>185</v>
      </c>
      <c r="C12" s="25">
        <v>117</v>
      </c>
      <c r="D12" s="26">
        <v>17.446650124069478</v>
      </c>
      <c r="E12" s="25">
        <v>50</v>
      </c>
      <c r="F12" s="20">
        <v>35</v>
      </c>
      <c r="G12" s="20">
        <v>21</v>
      </c>
      <c r="H12" s="20">
        <v>7</v>
      </c>
      <c r="I12" s="20">
        <v>3</v>
      </c>
      <c r="J12" s="20">
        <v>1</v>
      </c>
      <c r="K12" s="20"/>
      <c r="L12" s="20"/>
    </row>
    <row r="13" spans="1:12" s="1" customFormat="1" ht="22.7" customHeight="1" x14ac:dyDescent="0.2">
      <c r="A13" s="10" t="s">
        <v>180</v>
      </c>
      <c r="B13" s="15" t="s">
        <v>179</v>
      </c>
      <c r="C13" s="4">
        <v>10</v>
      </c>
      <c r="D13" s="5">
        <v>2.7516129032258059</v>
      </c>
      <c r="E13" s="4">
        <v>10</v>
      </c>
      <c r="F13" s="4"/>
      <c r="G13" s="4"/>
      <c r="H13" s="4"/>
      <c r="I13" s="4"/>
      <c r="J13" s="4"/>
      <c r="K13" s="4"/>
      <c r="L13" s="4"/>
    </row>
    <row r="14" spans="1:12" s="1" customFormat="1" ht="14.1" customHeight="1" x14ac:dyDescent="0.2">
      <c r="A14" s="14" t="s">
        <v>196</v>
      </c>
      <c r="B14" s="18" t="s">
        <v>195</v>
      </c>
      <c r="C14" s="21">
        <v>10</v>
      </c>
      <c r="D14" s="24">
        <v>15.341935483870966</v>
      </c>
      <c r="E14" s="21">
        <v>5</v>
      </c>
      <c r="F14" s="21">
        <v>2</v>
      </c>
      <c r="G14" s="21">
        <v>2</v>
      </c>
      <c r="H14" s="21">
        <v>1</v>
      </c>
      <c r="I14" s="21"/>
      <c r="J14" s="21"/>
      <c r="K14" s="21"/>
      <c r="L14" s="21"/>
    </row>
    <row r="15" spans="1:12" s="1" customFormat="1" ht="14.1" customHeight="1" x14ac:dyDescent="0.2">
      <c r="A15" s="9" t="s">
        <v>178</v>
      </c>
      <c r="B15" s="18" t="s">
        <v>177</v>
      </c>
      <c r="C15" s="21">
        <v>405</v>
      </c>
      <c r="D15" s="24">
        <v>23.059657506969327</v>
      </c>
      <c r="E15" s="21">
        <v>154</v>
      </c>
      <c r="F15" s="21">
        <v>113</v>
      </c>
      <c r="G15" s="21">
        <v>62</v>
      </c>
      <c r="H15" s="21">
        <v>29</v>
      </c>
      <c r="I15" s="21">
        <v>24</v>
      </c>
      <c r="J15" s="21">
        <v>20</v>
      </c>
      <c r="K15" s="21">
        <v>3</v>
      </c>
      <c r="L15" s="21"/>
    </row>
    <row r="16" spans="1:12" s="1" customFormat="1" ht="14.1" customHeight="1" x14ac:dyDescent="0.2">
      <c r="A16" s="9" t="s">
        <v>200</v>
      </c>
      <c r="B16" s="8" t="s">
        <v>199</v>
      </c>
      <c r="C16" s="4">
        <v>432</v>
      </c>
      <c r="D16" s="5">
        <v>19.335424133811223</v>
      </c>
      <c r="E16" s="4">
        <v>197</v>
      </c>
      <c r="F16" s="4">
        <v>130</v>
      </c>
      <c r="G16" s="4">
        <v>50</v>
      </c>
      <c r="H16" s="4">
        <v>25</v>
      </c>
      <c r="I16" s="4">
        <v>13</v>
      </c>
      <c r="J16" s="4">
        <v>13</v>
      </c>
      <c r="K16" s="4">
        <v>4</v>
      </c>
      <c r="L16" s="4"/>
    </row>
    <row r="17" spans="1:12" s="1" customFormat="1" ht="14.1" customHeight="1" x14ac:dyDescent="0.2">
      <c r="A17" s="12" t="s">
        <v>188</v>
      </c>
      <c r="B17" s="17" t="s">
        <v>187</v>
      </c>
      <c r="C17" s="20">
        <v>141</v>
      </c>
      <c r="D17" s="23">
        <v>15.321436742164263</v>
      </c>
      <c r="E17" s="20">
        <v>78</v>
      </c>
      <c r="F17" s="20">
        <v>39</v>
      </c>
      <c r="G17" s="20">
        <v>11</v>
      </c>
      <c r="H17" s="20">
        <v>3</v>
      </c>
      <c r="I17" s="20">
        <v>4</v>
      </c>
      <c r="J17" s="20">
        <v>6</v>
      </c>
      <c r="K17" s="20"/>
      <c r="L17" s="20"/>
    </row>
    <row r="18" spans="1:12" s="1" customFormat="1" ht="18.2" customHeight="1" x14ac:dyDescent="0.2">
      <c r="A18" s="12" t="s">
        <v>198</v>
      </c>
      <c r="B18" s="8" t="s">
        <v>197</v>
      </c>
      <c r="C18" s="25">
        <v>893</v>
      </c>
      <c r="D18" s="26">
        <v>14.006466062204236</v>
      </c>
      <c r="E18" s="25">
        <v>557</v>
      </c>
      <c r="F18" s="20">
        <v>196</v>
      </c>
      <c r="G18" s="20">
        <v>67</v>
      </c>
      <c r="H18" s="20">
        <v>32</v>
      </c>
      <c r="I18" s="20">
        <v>12</v>
      </c>
      <c r="J18" s="20">
        <v>27</v>
      </c>
      <c r="K18" s="20">
        <v>2</v>
      </c>
      <c r="L18" s="20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A2" sqref="A2:O2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13" width="10" customWidth="1"/>
    <col min="14" max="14" width="10.140625" customWidth="1"/>
  </cols>
  <sheetData>
    <row r="1" spans="1:13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71</v>
      </c>
      <c r="E1" s="2" t="s">
        <v>72</v>
      </c>
      <c r="F1" s="2" t="s">
        <v>73</v>
      </c>
      <c r="G1" s="2" t="s">
        <v>11</v>
      </c>
      <c r="H1" s="2" t="s">
        <v>74</v>
      </c>
      <c r="I1" s="2" t="s">
        <v>31</v>
      </c>
      <c r="J1" s="2" t="s">
        <v>75</v>
      </c>
      <c r="K1" s="2" t="s">
        <v>27</v>
      </c>
      <c r="L1" s="2" t="s">
        <v>76</v>
      </c>
      <c r="M1" s="2" t="s">
        <v>77</v>
      </c>
    </row>
    <row r="2" spans="1:13" s="1" customFormat="1" ht="18.2" customHeight="1" x14ac:dyDescent="0.2">
      <c r="A2" s="12" t="s">
        <v>198</v>
      </c>
      <c r="B2" s="17" t="s">
        <v>197</v>
      </c>
      <c r="C2" s="31">
        <v>893</v>
      </c>
      <c r="D2" s="31">
        <v>334</v>
      </c>
      <c r="E2" s="31">
        <v>58</v>
      </c>
      <c r="F2" s="31">
        <v>164</v>
      </c>
      <c r="G2" s="20"/>
      <c r="H2" s="20">
        <v>214</v>
      </c>
      <c r="I2" s="20"/>
      <c r="J2" s="20">
        <v>7</v>
      </c>
      <c r="K2" s="20"/>
      <c r="L2" s="20">
        <v>81</v>
      </c>
      <c r="M2" s="20">
        <v>35</v>
      </c>
    </row>
    <row r="3" spans="1:13" s="1" customFormat="1" ht="22.7" customHeight="1" x14ac:dyDescent="0.2">
      <c r="A3" s="10" t="s">
        <v>188</v>
      </c>
      <c r="B3" s="15" t="s">
        <v>187</v>
      </c>
      <c r="C3" s="4">
        <v>141</v>
      </c>
      <c r="D3" s="4">
        <v>81</v>
      </c>
      <c r="E3" s="4">
        <v>9</v>
      </c>
      <c r="F3" s="4">
        <v>23</v>
      </c>
      <c r="G3" s="4"/>
      <c r="H3" s="4">
        <v>12</v>
      </c>
      <c r="I3" s="4"/>
      <c r="J3" s="4"/>
      <c r="K3" s="4"/>
      <c r="L3" s="4">
        <v>13</v>
      </c>
      <c r="M3" s="4">
        <v>3</v>
      </c>
    </row>
    <row r="4" spans="1:13" s="1" customFormat="1" ht="14.1" customHeight="1" x14ac:dyDescent="0.2">
      <c r="A4" s="11" t="s">
        <v>200</v>
      </c>
      <c r="B4" s="16" t="s">
        <v>199</v>
      </c>
      <c r="C4" s="19">
        <v>432</v>
      </c>
      <c r="D4" s="19">
        <v>163</v>
      </c>
      <c r="E4" s="19">
        <v>40</v>
      </c>
      <c r="F4" s="19">
        <v>64</v>
      </c>
      <c r="G4" s="19"/>
      <c r="H4" s="19">
        <v>93</v>
      </c>
      <c r="I4" s="19"/>
      <c r="J4" s="19">
        <v>8</v>
      </c>
      <c r="K4" s="19"/>
      <c r="L4" s="19">
        <v>49</v>
      </c>
      <c r="M4" s="19">
        <v>15</v>
      </c>
    </row>
    <row r="5" spans="1:13" s="1" customFormat="1" ht="14.1" customHeight="1" x14ac:dyDescent="0.2">
      <c r="A5" s="11" t="s">
        <v>178</v>
      </c>
      <c r="B5" s="16" t="s">
        <v>177</v>
      </c>
      <c r="C5" s="19">
        <v>405</v>
      </c>
      <c r="D5" s="19">
        <v>147</v>
      </c>
      <c r="E5" s="19">
        <v>44</v>
      </c>
      <c r="F5" s="19">
        <v>58</v>
      </c>
      <c r="G5" s="19"/>
      <c r="H5" s="19">
        <v>87</v>
      </c>
      <c r="I5" s="19"/>
      <c r="J5" s="19">
        <v>8</v>
      </c>
      <c r="K5" s="19"/>
      <c r="L5" s="19">
        <v>45</v>
      </c>
      <c r="M5" s="19">
        <v>16</v>
      </c>
    </row>
    <row r="6" spans="1:13" s="1" customFormat="1" ht="14.1" customHeight="1" x14ac:dyDescent="0.2">
      <c r="A6" s="14" t="s">
        <v>196</v>
      </c>
      <c r="B6" s="18" t="s">
        <v>195</v>
      </c>
      <c r="C6" s="21">
        <v>10</v>
      </c>
      <c r="D6" s="21">
        <v>5</v>
      </c>
      <c r="E6" s="21"/>
      <c r="F6" s="21">
        <v>1</v>
      </c>
      <c r="G6" s="21"/>
      <c r="H6" s="21">
        <v>1</v>
      </c>
      <c r="I6" s="21"/>
      <c r="J6" s="21"/>
      <c r="K6" s="21"/>
      <c r="L6" s="21">
        <v>3</v>
      </c>
      <c r="M6" s="21"/>
    </row>
    <row r="7" spans="1:13" s="1" customFormat="1" ht="14.1" customHeight="1" x14ac:dyDescent="0.2">
      <c r="A7" s="14" t="s">
        <v>180</v>
      </c>
      <c r="B7" s="18" t="s">
        <v>179</v>
      </c>
      <c r="C7" s="21">
        <v>10</v>
      </c>
      <c r="D7" s="21">
        <v>5</v>
      </c>
      <c r="E7" s="21">
        <v>2</v>
      </c>
      <c r="F7" s="21"/>
      <c r="G7" s="21"/>
      <c r="H7" s="21"/>
      <c r="I7" s="21"/>
      <c r="J7" s="21">
        <v>2</v>
      </c>
      <c r="K7" s="21"/>
      <c r="L7" s="21">
        <v>1</v>
      </c>
      <c r="M7" s="21"/>
    </row>
    <row r="8" spans="1:13" s="1" customFormat="1" ht="14.1" customHeight="1" x14ac:dyDescent="0.2">
      <c r="A8" s="9" t="s">
        <v>186</v>
      </c>
      <c r="B8" s="8" t="s">
        <v>185</v>
      </c>
      <c r="C8" s="4">
        <v>117</v>
      </c>
      <c r="D8" s="4">
        <v>45</v>
      </c>
      <c r="E8" s="4">
        <v>13</v>
      </c>
      <c r="F8" s="4">
        <v>16</v>
      </c>
      <c r="G8" s="4"/>
      <c r="H8" s="4">
        <v>23</v>
      </c>
      <c r="I8" s="4"/>
      <c r="J8" s="4"/>
      <c r="K8" s="4"/>
      <c r="L8" s="4">
        <v>14</v>
      </c>
      <c r="M8" s="4">
        <v>6</v>
      </c>
    </row>
    <row r="9" spans="1:13" s="1" customFormat="1" ht="18.2" customHeight="1" x14ac:dyDescent="0.2">
      <c r="A9" s="12" t="s">
        <v>170</v>
      </c>
      <c r="B9" s="17" t="s">
        <v>169</v>
      </c>
      <c r="C9" s="31">
        <v>76</v>
      </c>
      <c r="D9" s="31">
        <v>34</v>
      </c>
      <c r="E9" s="31">
        <v>6</v>
      </c>
      <c r="F9" s="31">
        <v>13</v>
      </c>
      <c r="G9" s="20"/>
      <c r="H9" s="20">
        <v>10</v>
      </c>
      <c r="I9" s="20"/>
      <c r="J9" s="20">
        <v>1</v>
      </c>
      <c r="K9" s="20"/>
      <c r="L9" s="20">
        <v>9</v>
      </c>
      <c r="M9" s="20">
        <v>3</v>
      </c>
    </row>
    <row r="10" spans="1:13" s="1" customFormat="1" ht="22.7" customHeight="1" x14ac:dyDescent="0.2">
      <c r="A10" s="10" t="s">
        <v>176</v>
      </c>
      <c r="B10" s="15" t="s">
        <v>175</v>
      </c>
      <c r="C10" s="4">
        <v>34</v>
      </c>
      <c r="D10" s="4">
        <v>23</v>
      </c>
      <c r="E10" s="4"/>
      <c r="F10" s="4">
        <v>3</v>
      </c>
      <c r="G10" s="4"/>
      <c r="H10" s="4">
        <v>5</v>
      </c>
      <c r="I10" s="4"/>
      <c r="J10" s="4"/>
      <c r="K10" s="4"/>
      <c r="L10" s="4">
        <v>3</v>
      </c>
      <c r="M10" s="4"/>
    </row>
    <row r="11" spans="1:13" s="1" customFormat="1" ht="14.1" customHeight="1" x14ac:dyDescent="0.2">
      <c r="A11" s="11" t="s">
        <v>192</v>
      </c>
      <c r="B11" s="16" t="s">
        <v>191</v>
      </c>
      <c r="C11" s="19">
        <v>202</v>
      </c>
      <c r="D11" s="19">
        <v>74</v>
      </c>
      <c r="E11" s="19">
        <v>20</v>
      </c>
      <c r="F11" s="19">
        <v>36</v>
      </c>
      <c r="G11" s="19"/>
      <c r="H11" s="19">
        <v>42</v>
      </c>
      <c r="I11" s="19"/>
      <c r="J11" s="19">
        <v>2</v>
      </c>
      <c r="K11" s="19"/>
      <c r="L11" s="19">
        <v>20</v>
      </c>
      <c r="M11" s="19">
        <v>8</v>
      </c>
    </row>
    <row r="12" spans="1:13" s="1" customFormat="1" ht="14.1" customHeight="1" x14ac:dyDescent="0.2">
      <c r="A12" s="14" t="s">
        <v>172</v>
      </c>
      <c r="B12" s="18" t="s">
        <v>171</v>
      </c>
      <c r="C12" s="21">
        <v>56</v>
      </c>
      <c r="D12" s="21">
        <v>24</v>
      </c>
      <c r="E12" s="21">
        <v>9</v>
      </c>
      <c r="F12" s="21">
        <v>7</v>
      </c>
      <c r="G12" s="21"/>
      <c r="H12" s="21">
        <v>9</v>
      </c>
      <c r="I12" s="21"/>
      <c r="J12" s="21">
        <v>1</v>
      </c>
      <c r="K12" s="21"/>
      <c r="L12" s="21">
        <v>5</v>
      </c>
      <c r="M12" s="21">
        <v>1</v>
      </c>
    </row>
    <row r="13" spans="1:13" s="1" customFormat="1" ht="14.1" customHeight="1" x14ac:dyDescent="0.2">
      <c r="A13" s="14" t="s">
        <v>190</v>
      </c>
      <c r="B13" s="18" t="s">
        <v>189</v>
      </c>
      <c r="C13" s="21">
        <v>103</v>
      </c>
      <c r="D13" s="21">
        <v>41</v>
      </c>
      <c r="E13" s="21">
        <v>13</v>
      </c>
      <c r="F13" s="21">
        <v>16</v>
      </c>
      <c r="G13" s="21"/>
      <c r="H13" s="21">
        <v>12</v>
      </c>
      <c r="I13" s="21"/>
      <c r="J13" s="21">
        <v>1</v>
      </c>
      <c r="K13" s="21"/>
      <c r="L13" s="21">
        <v>17</v>
      </c>
      <c r="M13" s="21">
        <v>3</v>
      </c>
    </row>
    <row r="14" spans="1:13" s="1" customFormat="1" ht="14.1" customHeight="1" x14ac:dyDescent="0.2">
      <c r="A14" s="9" t="s">
        <v>182</v>
      </c>
      <c r="B14" s="8" t="s">
        <v>181</v>
      </c>
      <c r="C14" s="4">
        <v>26</v>
      </c>
      <c r="D14" s="4">
        <v>6</v>
      </c>
      <c r="E14" s="4">
        <v>5</v>
      </c>
      <c r="F14" s="4">
        <v>3</v>
      </c>
      <c r="G14" s="4"/>
      <c r="H14" s="4">
        <v>3</v>
      </c>
      <c r="I14" s="4"/>
      <c r="J14" s="4">
        <v>2</v>
      </c>
      <c r="K14" s="4"/>
      <c r="L14" s="4">
        <v>4</v>
      </c>
      <c r="M14" s="4">
        <v>3</v>
      </c>
    </row>
    <row r="15" spans="1:13" s="1" customFormat="1" ht="18.2" customHeight="1" x14ac:dyDescent="0.2">
      <c r="A15" s="1">
        <v>200017341</v>
      </c>
      <c r="B15" s="17" t="s">
        <v>168</v>
      </c>
      <c r="C15" s="31">
        <v>18</v>
      </c>
      <c r="D15" s="31">
        <v>7</v>
      </c>
      <c r="E15" s="31">
        <v>3</v>
      </c>
      <c r="F15" s="31">
        <v>3</v>
      </c>
      <c r="G15" s="20"/>
      <c r="H15" s="20">
        <v>4</v>
      </c>
      <c r="I15" s="20"/>
      <c r="J15" s="20"/>
      <c r="K15" s="20"/>
      <c r="L15" s="20"/>
      <c r="M15" s="20">
        <v>1</v>
      </c>
    </row>
    <row r="16" spans="1:13" s="1" customFormat="1" ht="22.7" customHeight="1" x14ac:dyDescent="0.2">
      <c r="A16" s="10" t="s">
        <v>174</v>
      </c>
      <c r="B16" s="15" t="s">
        <v>173</v>
      </c>
      <c r="C16" s="4">
        <v>18</v>
      </c>
      <c r="D16" s="4">
        <v>2</v>
      </c>
      <c r="E16" s="4">
        <v>5</v>
      </c>
      <c r="F16" s="4">
        <v>2</v>
      </c>
      <c r="G16" s="4"/>
      <c r="H16" s="4">
        <v>3</v>
      </c>
      <c r="I16" s="4"/>
      <c r="J16" s="4">
        <v>1</v>
      </c>
      <c r="K16" s="4"/>
      <c r="L16" s="4">
        <v>3</v>
      </c>
      <c r="M16" s="4">
        <v>2</v>
      </c>
    </row>
    <row r="17" spans="1:13" s="1" customFormat="1" ht="14.1" customHeight="1" x14ac:dyDescent="0.2">
      <c r="A17" s="11" t="s">
        <v>194</v>
      </c>
      <c r="B17" s="16" t="s">
        <v>193</v>
      </c>
      <c r="C17" s="19">
        <v>44</v>
      </c>
      <c r="D17" s="19">
        <v>15</v>
      </c>
      <c r="E17" s="19">
        <v>6</v>
      </c>
      <c r="F17" s="19">
        <v>7</v>
      </c>
      <c r="G17" s="19"/>
      <c r="H17" s="19">
        <v>5</v>
      </c>
      <c r="I17" s="19"/>
      <c r="J17" s="19"/>
      <c r="K17" s="19"/>
      <c r="L17" s="19">
        <v>9</v>
      </c>
      <c r="M17" s="19">
        <v>2</v>
      </c>
    </row>
    <row r="18" spans="1:13" s="1" customFormat="1" ht="14.1" customHeight="1" x14ac:dyDescent="0.2">
      <c r="A18" s="11" t="s">
        <v>184</v>
      </c>
      <c r="B18" s="16" t="s">
        <v>183</v>
      </c>
      <c r="C18" s="19">
        <v>3029</v>
      </c>
      <c r="D18" s="19">
        <v>1246</v>
      </c>
      <c r="E18" s="19">
        <v>207</v>
      </c>
      <c r="F18" s="19">
        <v>461</v>
      </c>
      <c r="G18" s="19"/>
      <c r="H18" s="19">
        <v>762</v>
      </c>
      <c r="I18" s="19"/>
      <c r="J18" s="19">
        <v>25</v>
      </c>
      <c r="K18" s="19"/>
      <c r="L18" s="19">
        <v>255</v>
      </c>
      <c r="M18" s="19">
        <v>73</v>
      </c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workbookViewId="0">
      <selection activeCell="A2" sqref="A2:O2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3" width="10" customWidth="1"/>
    <col min="4" max="32" width="20.85546875" customWidth="1"/>
  </cols>
  <sheetData>
    <row r="1" spans="1:32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115</v>
      </c>
      <c r="E1" s="2" t="s">
        <v>116</v>
      </c>
      <c r="F1" s="2" t="s">
        <v>117</v>
      </c>
      <c r="G1" s="2" t="s">
        <v>118</v>
      </c>
      <c r="H1" s="2" t="s">
        <v>119</v>
      </c>
      <c r="I1" s="2" t="s">
        <v>120</v>
      </c>
      <c r="J1" s="2" t="s">
        <v>121</v>
      </c>
      <c r="K1" s="2" t="s">
        <v>122</v>
      </c>
      <c r="L1" s="2" t="s">
        <v>11</v>
      </c>
      <c r="M1" s="2" t="s">
        <v>123</v>
      </c>
      <c r="N1" s="2" t="s">
        <v>124</v>
      </c>
      <c r="O1" s="2" t="s">
        <v>125</v>
      </c>
      <c r="P1" s="2" t="s">
        <v>126</v>
      </c>
      <c r="Q1" s="2" t="s">
        <v>127</v>
      </c>
      <c r="R1" s="2" t="s">
        <v>128</v>
      </c>
      <c r="S1" s="2" t="s">
        <v>129</v>
      </c>
      <c r="T1" s="2" t="s">
        <v>130</v>
      </c>
      <c r="U1" s="2" t="s">
        <v>131</v>
      </c>
      <c r="V1" s="2" t="s">
        <v>132</v>
      </c>
      <c r="W1" s="2" t="s">
        <v>31</v>
      </c>
      <c r="X1" s="2" t="s">
        <v>133</v>
      </c>
      <c r="Y1" s="2" t="s">
        <v>134</v>
      </c>
      <c r="Z1" s="2" t="s">
        <v>135</v>
      </c>
      <c r="AA1" s="2" t="s">
        <v>136</v>
      </c>
      <c r="AB1" s="2" t="s">
        <v>137</v>
      </c>
      <c r="AC1" s="2" t="s">
        <v>138</v>
      </c>
      <c r="AD1" s="2" t="s">
        <v>139</v>
      </c>
      <c r="AE1" s="2" t="s">
        <v>27</v>
      </c>
      <c r="AF1" s="2" t="s">
        <v>140</v>
      </c>
    </row>
    <row r="2" spans="1:32" s="1" customFormat="1" ht="14.1" customHeight="1" x14ac:dyDescent="0.2">
      <c r="A2" s="14" t="s">
        <v>198</v>
      </c>
      <c r="B2" s="18" t="s">
        <v>197</v>
      </c>
      <c r="C2" s="21">
        <v>893</v>
      </c>
      <c r="D2" s="21">
        <v>3</v>
      </c>
      <c r="E2" s="21">
        <v>37</v>
      </c>
      <c r="F2" s="21">
        <v>13</v>
      </c>
      <c r="G2" s="21">
        <v>1</v>
      </c>
      <c r="H2" s="21">
        <v>53</v>
      </c>
      <c r="I2" s="21"/>
      <c r="J2" s="21">
        <v>11</v>
      </c>
      <c r="K2" s="21">
        <v>40</v>
      </c>
      <c r="L2" s="21"/>
      <c r="M2" s="21">
        <v>15</v>
      </c>
      <c r="N2" s="21">
        <v>5</v>
      </c>
      <c r="O2" s="21">
        <v>23</v>
      </c>
      <c r="P2" s="21">
        <v>15</v>
      </c>
      <c r="Q2" s="21">
        <v>44</v>
      </c>
      <c r="R2" s="21">
        <v>31</v>
      </c>
      <c r="S2" s="21">
        <v>120</v>
      </c>
      <c r="T2" s="21">
        <v>21</v>
      </c>
      <c r="U2" s="21">
        <v>132</v>
      </c>
      <c r="V2" s="21">
        <v>8</v>
      </c>
      <c r="W2" s="21"/>
      <c r="X2" s="21">
        <v>41</v>
      </c>
      <c r="Y2" s="21">
        <v>2</v>
      </c>
      <c r="Z2" s="21"/>
      <c r="AA2" s="21">
        <v>66</v>
      </c>
      <c r="AB2" s="21">
        <v>7</v>
      </c>
      <c r="AC2" s="21"/>
      <c r="AD2" s="21">
        <v>195</v>
      </c>
      <c r="AE2" s="21"/>
      <c r="AF2" s="21">
        <v>10</v>
      </c>
    </row>
    <row r="3" spans="1:32" s="1" customFormat="1" ht="14.1" customHeight="1" x14ac:dyDescent="0.2">
      <c r="A3" s="9" t="s">
        <v>188</v>
      </c>
      <c r="B3" s="8" t="s">
        <v>187</v>
      </c>
      <c r="C3" s="4">
        <v>141</v>
      </c>
      <c r="D3" s="4"/>
      <c r="E3" s="4">
        <v>17</v>
      </c>
      <c r="F3" s="4">
        <v>1</v>
      </c>
      <c r="G3" s="4"/>
      <c r="H3" s="4">
        <v>8</v>
      </c>
      <c r="I3" s="4"/>
      <c r="J3" s="4"/>
      <c r="K3" s="4">
        <v>5</v>
      </c>
      <c r="L3" s="4"/>
      <c r="M3" s="4"/>
      <c r="N3" s="4"/>
      <c r="O3" s="4">
        <v>5</v>
      </c>
      <c r="P3" s="4">
        <v>1</v>
      </c>
      <c r="Q3" s="4">
        <v>4</v>
      </c>
      <c r="R3" s="4">
        <v>4</v>
      </c>
      <c r="S3" s="4">
        <v>21</v>
      </c>
      <c r="T3" s="4"/>
      <c r="U3" s="4">
        <v>22</v>
      </c>
      <c r="V3" s="4">
        <v>7</v>
      </c>
      <c r="W3" s="4"/>
      <c r="X3" s="4">
        <v>1</v>
      </c>
      <c r="Y3" s="4"/>
      <c r="Z3" s="4"/>
      <c r="AA3" s="4">
        <v>3</v>
      </c>
      <c r="AB3" s="4">
        <v>1</v>
      </c>
      <c r="AC3" s="4"/>
      <c r="AD3" s="4">
        <v>37</v>
      </c>
      <c r="AE3" s="4"/>
      <c r="AF3" s="4">
        <v>4</v>
      </c>
    </row>
    <row r="4" spans="1:32" s="1" customFormat="1" ht="14.1" customHeight="1" x14ac:dyDescent="0.2">
      <c r="A4" s="12" t="s">
        <v>200</v>
      </c>
      <c r="B4" s="17" t="s">
        <v>199</v>
      </c>
      <c r="C4" s="20">
        <v>432</v>
      </c>
      <c r="D4" s="20"/>
      <c r="E4" s="20">
        <v>16</v>
      </c>
      <c r="F4" s="20">
        <v>7</v>
      </c>
      <c r="G4" s="20"/>
      <c r="H4" s="20">
        <v>26</v>
      </c>
      <c r="I4" s="20"/>
      <c r="J4" s="20">
        <v>2</v>
      </c>
      <c r="K4" s="20">
        <v>22</v>
      </c>
      <c r="L4" s="20"/>
      <c r="M4" s="20">
        <v>11</v>
      </c>
      <c r="N4" s="20">
        <v>4</v>
      </c>
      <c r="O4" s="20">
        <v>8</v>
      </c>
      <c r="P4" s="20">
        <v>10</v>
      </c>
      <c r="Q4" s="20">
        <v>22</v>
      </c>
      <c r="R4" s="20">
        <v>32</v>
      </c>
      <c r="S4" s="20">
        <v>71</v>
      </c>
      <c r="T4" s="20">
        <v>6</v>
      </c>
      <c r="U4" s="20">
        <v>72</v>
      </c>
      <c r="V4" s="20">
        <v>1</v>
      </c>
      <c r="W4" s="20">
        <v>2</v>
      </c>
      <c r="X4" s="20">
        <v>9</v>
      </c>
      <c r="Y4" s="20">
        <v>1</v>
      </c>
      <c r="Z4" s="20">
        <v>1</v>
      </c>
      <c r="AA4" s="20">
        <v>16</v>
      </c>
      <c r="AB4" s="20">
        <v>1</v>
      </c>
      <c r="AC4" s="20"/>
      <c r="AD4" s="20">
        <v>89</v>
      </c>
      <c r="AE4" s="20"/>
      <c r="AF4" s="20">
        <v>3</v>
      </c>
    </row>
    <row r="5" spans="1:32" s="1" customFormat="1" ht="18.2" customHeight="1" x14ac:dyDescent="0.2">
      <c r="A5" s="12" t="s">
        <v>178</v>
      </c>
      <c r="B5" s="8" t="s">
        <v>177</v>
      </c>
      <c r="C5" s="25">
        <v>405</v>
      </c>
      <c r="D5" s="25"/>
      <c r="E5" s="25">
        <v>6</v>
      </c>
      <c r="F5" s="20">
        <v>5</v>
      </c>
      <c r="G5" s="20"/>
      <c r="H5" s="20">
        <v>21</v>
      </c>
      <c r="I5" s="20"/>
      <c r="J5" s="20">
        <v>4</v>
      </c>
      <c r="K5" s="20">
        <v>11</v>
      </c>
      <c r="L5" s="20"/>
      <c r="M5" s="20">
        <v>4</v>
      </c>
      <c r="N5" s="20">
        <v>1</v>
      </c>
      <c r="O5" s="20">
        <v>2</v>
      </c>
      <c r="P5" s="20">
        <v>7</v>
      </c>
      <c r="Q5" s="20">
        <v>11</v>
      </c>
      <c r="R5" s="20">
        <v>28</v>
      </c>
      <c r="S5" s="20">
        <v>66</v>
      </c>
      <c r="T5" s="20">
        <v>4</v>
      </c>
      <c r="U5" s="20">
        <v>86</v>
      </c>
      <c r="V5" s="20">
        <v>1</v>
      </c>
      <c r="W5" s="20">
        <v>1</v>
      </c>
      <c r="X5" s="20">
        <v>16</v>
      </c>
      <c r="Y5" s="20">
        <v>9</v>
      </c>
      <c r="Z5" s="20"/>
      <c r="AA5" s="20">
        <v>17</v>
      </c>
      <c r="AB5" s="20">
        <v>1</v>
      </c>
      <c r="AC5" s="20"/>
      <c r="AD5" s="20">
        <v>96</v>
      </c>
      <c r="AE5" s="20"/>
      <c r="AF5" s="20">
        <v>8</v>
      </c>
    </row>
    <row r="6" spans="1:32" s="1" customFormat="1" ht="14.1" customHeight="1" x14ac:dyDescent="0.2">
      <c r="A6" s="9" t="s">
        <v>196</v>
      </c>
      <c r="B6" s="8" t="s">
        <v>195</v>
      </c>
      <c r="C6" s="4">
        <v>10</v>
      </c>
      <c r="D6" s="4"/>
      <c r="E6" s="4"/>
      <c r="F6" s="4"/>
      <c r="G6" s="4"/>
      <c r="H6" s="4"/>
      <c r="I6" s="4"/>
      <c r="J6" s="4"/>
      <c r="K6" s="4"/>
      <c r="L6" s="4"/>
      <c r="M6" s="4">
        <v>2</v>
      </c>
      <c r="N6" s="4"/>
      <c r="O6" s="4"/>
      <c r="P6" s="4"/>
      <c r="Q6" s="4"/>
      <c r="R6" s="4">
        <v>1</v>
      </c>
      <c r="S6" s="4">
        <v>1</v>
      </c>
      <c r="T6" s="4"/>
      <c r="U6" s="4">
        <v>2</v>
      </c>
      <c r="V6" s="4"/>
      <c r="W6" s="4"/>
      <c r="X6" s="4">
        <v>1</v>
      </c>
      <c r="Y6" s="4"/>
      <c r="Z6" s="4"/>
      <c r="AA6" s="4">
        <v>2</v>
      </c>
      <c r="AB6" s="4"/>
      <c r="AC6" s="4"/>
      <c r="AD6" s="4">
        <v>1</v>
      </c>
      <c r="AE6" s="4"/>
      <c r="AF6" s="4"/>
    </row>
    <row r="7" spans="1:32" s="1" customFormat="1" ht="14.1" customHeight="1" x14ac:dyDescent="0.2">
      <c r="A7" s="12" t="s">
        <v>180</v>
      </c>
      <c r="B7" s="17" t="s">
        <v>179</v>
      </c>
      <c r="C7" s="20">
        <v>10</v>
      </c>
      <c r="D7" s="20"/>
      <c r="E7" s="20">
        <v>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>
        <v>1</v>
      </c>
      <c r="S7" s="20">
        <v>3</v>
      </c>
      <c r="T7" s="20"/>
      <c r="U7" s="20">
        <v>1</v>
      </c>
      <c r="V7" s="20"/>
      <c r="W7" s="20"/>
      <c r="X7" s="20">
        <v>1</v>
      </c>
      <c r="Y7" s="20"/>
      <c r="Z7" s="20"/>
      <c r="AA7" s="20"/>
      <c r="AB7" s="20"/>
      <c r="AC7" s="20"/>
      <c r="AD7" s="20">
        <v>2</v>
      </c>
      <c r="AE7" s="20"/>
      <c r="AF7" s="20"/>
    </row>
    <row r="8" spans="1:32" s="1" customFormat="1" ht="18.2" customHeight="1" x14ac:dyDescent="0.2">
      <c r="A8" s="12" t="s">
        <v>186</v>
      </c>
      <c r="B8" s="8" t="s">
        <v>185</v>
      </c>
      <c r="C8" s="25">
        <v>117</v>
      </c>
      <c r="D8" s="25">
        <v>2</v>
      </c>
      <c r="E8" s="25">
        <v>5</v>
      </c>
      <c r="F8" s="20">
        <v>1</v>
      </c>
      <c r="G8" s="20"/>
      <c r="H8" s="20">
        <v>7</v>
      </c>
      <c r="I8" s="20"/>
      <c r="J8" s="20"/>
      <c r="K8" s="20">
        <v>9</v>
      </c>
      <c r="L8" s="20"/>
      <c r="M8" s="20">
        <v>3</v>
      </c>
      <c r="N8" s="20"/>
      <c r="O8" s="20">
        <v>3</v>
      </c>
      <c r="P8" s="20">
        <v>3</v>
      </c>
      <c r="Q8" s="20"/>
      <c r="R8" s="20">
        <v>6</v>
      </c>
      <c r="S8" s="20">
        <v>24</v>
      </c>
      <c r="T8" s="20">
        <v>3</v>
      </c>
      <c r="U8" s="20">
        <v>19</v>
      </c>
      <c r="V8" s="20"/>
      <c r="W8" s="20"/>
      <c r="X8" s="20">
        <v>4</v>
      </c>
      <c r="Y8" s="20">
        <v>2</v>
      </c>
      <c r="Z8" s="20"/>
      <c r="AA8" s="20">
        <v>2</v>
      </c>
      <c r="AB8" s="20"/>
      <c r="AC8" s="20"/>
      <c r="AD8" s="20">
        <v>23</v>
      </c>
      <c r="AE8" s="20"/>
      <c r="AF8" s="20">
        <v>1</v>
      </c>
    </row>
    <row r="9" spans="1:32" s="1" customFormat="1" ht="22.7" customHeight="1" x14ac:dyDescent="0.2">
      <c r="A9" s="10" t="s">
        <v>170</v>
      </c>
      <c r="B9" s="15" t="s">
        <v>169</v>
      </c>
      <c r="C9" s="4">
        <v>76</v>
      </c>
      <c r="D9" s="4"/>
      <c r="E9" s="4">
        <v>1</v>
      </c>
      <c r="F9" s="4">
        <v>3</v>
      </c>
      <c r="G9" s="4"/>
      <c r="H9" s="4">
        <v>12</v>
      </c>
      <c r="I9" s="4"/>
      <c r="J9" s="4"/>
      <c r="K9" s="4"/>
      <c r="L9" s="4"/>
      <c r="M9" s="4"/>
      <c r="N9" s="4"/>
      <c r="O9" s="4">
        <v>1</v>
      </c>
      <c r="P9" s="4"/>
      <c r="Q9" s="4">
        <v>2</v>
      </c>
      <c r="R9" s="4">
        <v>3</v>
      </c>
      <c r="S9" s="4">
        <v>17</v>
      </c>
      <c r="T9" s="4"/>
      <c r="U9" s="4">
        <v>9</v>
      </c>
      <c r="V9" s="4">
        <v>1</v>
      </c>
      <c r="W9" s="4"/>
      <c r="X9" s="4">
        <v>2</v>
      </c>
      <c r="Y9" s="4">
        <v>1</v>
      </c>
      <c r="Z9" s="4"/>
      <c r="AA9" s="4">
        <v>5</v>
      </c>
      <c r="AB9" s="4">
        <v>1</v>
      </c>
      <c r="AC9" s="4"/>
      <c r="AD9" s="4">
        <v>18</v>
      </c>
      <c r="AE9" s="4"/>
      <c r="AF9" s="4"/>
    </row>
    <row r="10" spans="1:32" s="1" customFormat="1" ht="14.1" customHeight="1" x14ac:dyDescent="0.2">
      <c r="A10" s="11" t="s">
        <v>176</v>
      </c>
      <c r="B10" s="16" t="s">
        <v>175</v>
      </c>
      <c r="C10" s="19">
        <v>34</v>
      </c>
      <c r="D10" s="19"/>
      <c r="E10" s="19">
        <v>4</v>
      </c>
      <c r="F10" s="19"/>
      <c r="G10" s="19"/>
      <c r="H10" s="19">
        <v>1</v>
      </c>
      <c r="I10" s="19"/>
      <c r="J10" s="19"/>
      <c r="K10" s="19">
        <v>3</v>
      </c>
      <c r="L10" s="19"/>
      <c r="M10" s="19">
        <v>9</v>
      </c>
      <c r="N10" s="19"/>
      <c r="O10" s="19"/>
      <c r="P10" s="19"/>
      <c r="Q10" s="19"/>
      <c r="R10" s="19">
        <v>1</v>
      </c>
      <c r="S10" s="19">
        <v>4</v>
      </c>
      <c r="T10" s="19"/>
      <c r="U10" s="19">
        <v>2</v>
      </c>
      <c r="V10" s="19"/>
      <c r="W10" s="19"/>
      <c r="X10" s="19">
        <v>4</v>
      </c>
      <c r="Y10" s="19">
        <v>1</v>
      </c>
      <c r="Z10" s="19"/>
      <c r="AA10" s="19"/>
      <c r="AB10" s="19">
        <v>1</v>
      </c>
      <c r="AC10" s="19"/>
      <c r="AD10" s="19">
        <v>4</v>
      </c>
      <c r="AE10" s="19"/>
      <c r="AF10" s="19"/>
    </row>
    <row r="11" spans="1:32" s="1" customFormat="1" ht="14.1" customHeight="1" x14ac:dyDescent="0.2">
      <c r="A11" s="11" t="s">
        <v>192</v>
      </c>
      <c r="B11" s="16" t="s">
        <v>191</v>
      </c>
      <c r="C11" s="19">
        <v>202</v>
      </c>
      <c r="D11" s="19"/>
      <c r="E11" s="19">
        <v>2</v>
      </c>
      <c r="F11" s="19">
        <v>3</v>
      </c>
      <c r="G11" s="19"/>
      <c r="H11" s="19">
        <v>14</v>
      </c>
      <c r="I11" s="19"/>
      <c r="J11" s="19">
        <v>2</v>
      </c>
      <c r="K11" s="19">
        <v>9</v>
      </c>
      <c r="L11" s="19"/>
      <c r="M11" s="19">
        <v>2</v>
      </c>
      <c r="N11" s="19"/>
      <c r="O11" s="19"/>
      <c r="P11" s="19">
        <v>3</v>
      </c>
      <c r="Q11" s="19">
        <v>9</v>
      </c>
      <c r="R11" s="19">
        <v>13</v>
      </c>
      <c r="S11" s="19">
        <v>25</v>
      </c>
      <c r="T11" s="19"/>
      <c r="U11" s="19">
        <v>34</v>
      </c>
      <c r="V11" s="19">
        <v>1</v>
      </c>
      <c r="W11" s="19"/>
      <c r="X11" s="19">
        <v>5</v>
      </c>
      <c r="Y11" s="19">
        <v>8</v>
      </c>
      <c r="Z11" s="19"/>
      <c r="AA11" s="19">
        <v>6</v>
      </c>
      <c r="AB11" s="19"/>
      <c r="AC11" s="19"/>
      <c r="AD11" s="19">
        <v>61</v>
      </c>
      <c r="AE11" s="19"/>
      <c r="AF11" s="19">
        <v>5</v>
      </c>
    </row>
    <row r="12" spans="1:32" s="1" customFormat="1" ht="14.1" customHeight="1" x14ac:dyDescent="0.2">
      <c r="A12" s="11" t="s">
        <v>172</v>
      </c>
      <c r="B12" s="16" t="s">
        <v>171</v>
      </c>
      <c r="C12" s="19">
        <v>56</v>
      </c>
      <c r="D12" s="19"/>
      <c r="E12" s="19">
        <v>8</v>
      </c>
      <c r="F12" s="19">
        <v>1</v>
      </c>
      <c r="G12" s="19"/>
      <c r="H12" s="19">
        <v>2</v>
      </c>
      <c r="I12" s="19"/>
      <c r="J12" s="19">
        <v>2</v>
      </c>
      <c r="K12" s="19"/>
      <c r="L12" s="19"/>
      <c r="M12" s="19">
        <v>2</v>
      </c>
      <c r="N12" s="19"/>
      <c r="O12" s="19">
        <v>3</v>
      </c>
      <c r="P12" s="19">
        <v>2</v>
      </c>
      <c r="Q12" s="19">
        <v>2</v>
      </c>
      <c r="R12" s="19">
        <v>1</v>
      </c>
      <c r="S12" s="19">
        <v>6</v>
      </c>
      <c r="T12" s="19"/>
      <c r="U12" s="19">
        <v>11</v>
      </c>
      <c r="V12" s="19">
        <v>1</v>
      </c>
      <c r="W12" s="19"/>
      <c r="X12" s="19">
        <v>4</v>
      </c>
      <c r="Y12" s="19"/>
      <c r="Z12" s="19">
        <v>1</v>
      </c>
      <c r="AA12" s="19">
        <v>4</v>
      </c>
      <c r="AB12" s="19"/>
      <c r="AC12" s="19"/>
      <c r="AD12" s="19">
        <v>6</v>
      </c>
      <c r="AE12" s="19"/>
      <c r="AF12" s="19"/>
    </row>
    <row r="13" spans="1:32" s="1" customFormat="1" ht="14.1" customHeight="1" x14ac:dyDescent="0.2">
      <c r="A13" s="11" t="s">
        <v>190</v>
      </c>
      <c r="B13" s="16" t="s">
        <v>189</v>
      </c>
      <c r="C13" s="19">
        <v>103</v>
      </c>
      <c r="D13" s="19"/>
      <c r="E13" s="19">
        <v>1</v>
      </c>
      <c r="F13" s="19">
        <v>2</v>
      </c>
      <c r="G13" s="19"/>
      <c r="H13" s="19">
        <v>10</v>
      </c>
      <c r="I13" s="19"/>
      <c r="J13" s="19"/>
      <c r="K13" s="19">
        <v>5</v>
      </c>
      <c r="L13" s="19"/>
      <c r="M13" s="19">
        <v>2</v>
      </c>
      <c r="N13" s="19">
        <v>1</v>
      </c>
      <c r="O13" s="19">
        <v>2</v>
      </c>
      <c r="P13" s="19">
        <v>1</v>
      </c>
      <c r="Q13" s="19">
        <v>1</v>
      </c>
      <c r="R13" s="19">
        <v>6</v>
      </c>
      <c r="S13" s="19">
        <v>19</v>
      </c>
      <c r="T13" s="19"/>
      <c r="U13" s="19">
        <v>16</v>
      </c>
      <c r="V13" s="19">
        <v>1</v>
      </c>
      <c r="W13" s="19"/>
      <c r="X13" s="19">
        <v>2</v>
      </c>
      <c r="Y13" s="19">
        <v>1</v>
      </c>
      <c r="Z13" s="19">
        <v>1</v>
      </c>
      <c r="AA13" s="19">
        <v>6</v>
      </c>
      <c r="AB13" s="19"/>
      <c r="AC13" s="19"/>
      <c r="AD13" s="19">
        <v>25</v>
      </c>
      <c r="AE13" s="19"/>
      <c r="AF13" s="19">
        <v>1</v>
      </c>
    </row>
    <row r="14" spans="1:32" s="1" customFormat="1" ht="14.1" customHeight="1" x14ac:dyDescent="0.2">
      <c r="A14" s="11" t="s">
        <v>182</v>
      </c>
      <c r="B14" s="16" t="s">
        <v>181</v>
      </c>
      <c r="C14" s="19">
        <v>26</v>
      </c>
      <c r="D14" s="19"/>
      <c r="E14" s="19">
        <v>2</v>
      </c>
      <c r="F14" s="19">
        <v>1</v>
      </c>
      <c r="G14" s="19"/>
      <c r="H14" s="19">
        <v>2</v>
      </c>
      <c r="I14" s="19"/>
      <c r="J14" s="19"/>
      <c r="K14" s="19"/>
      <c r="L14" s="19"/>
      <c r="M14" s="19">
        <v>2</v>
      </c>
      <c r="N14" s="19"/>
      <c r="O14" s="19"/>
      <c r="P14" s="19">
        <v>1</v>
      </c>
      <c r="Q14" s="19"/>
      <c r="R14" s="19">
        <v>1</v>
      </c>
      <c r="S14" s="19">
        <v>5</v>
      </c>
      <c r="T14" s="19">
        <v>1</v>
      </c>
      <c r="U14" s="19">
        <v>6</v>
      </c>
      <c r="V14" s="19"/>
      <c r="W14" s="19"/>
      <c r="X14" s="19">
        <v>1</v>
      </c>
      <c r="Y14" s="19"/>
      <c r="Z14" s="19"/>
      <c r="AA14" s="19">
        <v>1</v>
      </c>
      <c r="AB14" s="19"/>
      <c r="AC14" s="19"/>
      <c r="AD14" s="19">
        <v>3</v>
      </c>
      <c r="AE14" s="19"/>
      <c r="AF14" s="19"/>
    </row>
    <row r="15" spans="1:32" s="1" customFormat="1" ht="14.1" customHeight="1" x14ac:dyDescent="0.2">
      <c r="A15" s="13">
        <v>200017341</v>
      </c>
      <c r="B15" s="16" t="s">
        <v>168</v>
      </c>
      <c r="C15" s="19">
        <v>18</v>
      </c>
      <c r="D15" s="19"/>
      <c r="E15" s="19"/>
      <c r="F15" s="19"/>
      <c r="G15" s="19"/>
      <c r="H15" s="19">
        <v>1</v>
      </c>
      <c r="I15" s="19"/>
      <c r="J15" s="19"/>
      <c r="K15" s="19"/>
      <c r="L15" s="19"/>
      <c r="M15" s="19"/>
      <c r="N15" s="19">
        <v>1</v>
      </c>
      <c r="O15" s="19"/>
      <c r="P15" s="19">
        <v>1</v>
      </c>
      <c r="Q15" s="19">
        <v>1</v>
      </c>
      <c r="R15" s="19"/>
      <c r="S15" s="19">
        <v>5</v>
      </c>
      <c r="T15" s="19"/>
      <c r="U15" s="19">
        <v>4</v>
      </c>
      <c r="V15" s="19"/>
      <c r="W15" s="19"/>
      <c r="X15" s="19"/>
      <c r="Y15" s="19"/>
      <c r="Z15" s="19"/>
      <c r="AA15" s="19">
        <v>1</v>
      </c>
      <c r="AB15" s="19"/>
      <c r="AC15" s="19"/>
      <c r="AD15" s="19">
        <v>4</v>
      </c>
      <c r="AE15" s="19"/>
      <c r="AF15" s="19"/>
    </row>
    <row r="16" spans="1:32" s="1" customFormat="1" ht="14.1" customHeight="1" x14ac:dyDescent="0.2">
      <c r="A16" s="14" t="s">
        <v>174</v>
      </c>
      <c r="B16" s="18" t="s">
        <v>173</v>
      </c>
      <c r="C16" s="21">
        <v>18</v>
      </c>
      <c r="D16" s="21"/>
      <c r="E16" s="21">
        <v>1</v>
      </c>
      <c r="F16" s="21"/>
      <c r="G16" s="21"/>
      <c r="H16" s="21">
        <v>3</v>
      </c>
      <c r="I16" s="21"/>
      <c r="J16" s="21"/>
      <c r="K16" s="21"/>
      <c r="L16" s="21"/>
      <c r="M16" s="21"/>
      <c r="N16" s="21"/>
      <c r="O16" s="21"/>
      <c r="P16" s="21">
        <v>1</v>
      </c>
      <c r="Q16" s="21">
        <v>1</v>
      </c>
      <c r="R16" s="21">
        <v>1</v>
      </c>
      <c r="S16" s="21">
        <v>4</v>
      </c>
      <c r="T16" s="21"/>
      <c r="U16" s="21">
        <v>1</v>
      </c>
      <c r="V16" s="21"/>
      <c r="W16" s="21"/>
      <c r="X16" s="21">
        <v>2</v>
      </c>
      <c r="Y16" s="21"/>
      <c r="Z16" s="21"/>
      <c r="AA16" s="21">
        <v>1</v>
      </c>
      <c r="AB16" s="21"/>
      <c r="AC16" s="21"/>
      <c r="AD16" s="21">
        <v>3</v>
      </c>
      <c r="AE16" s="21"/>
      <c r="AF16" s="21"/>
    </row>
    <row r="17" spans="1:32" s="1" customFormat="1" ht="14.1" customHeight="1" x14ac:dyDescent="0.2">
      <c r="A17" s="14" t="s">
        <v>194</v>
      </c>
      <c r="B17" s="18" t="s">
        <v>193</v>
      </c>
      <c r="C17" s="21">
        <v>44</v>
      </c>
      <c r="D17" s="21"/>
      <c r="E17" s="21">
        <v>1</v>
      </c>
      <c r="F17" s="21">
        <v>1</v>
      </c>
      <c r="G17" s="21"/>
      <c r="H17" s="21">
        <v>4</v>
      </c>
      <c r="I17" s="21"/>
      <c r="J17" s="21"/>
      <c r="K17" s="21">
        <v>1</v>
      </c>
      <c r="L17" s="21"/>
      <c r="M17" s="21">
        <v>1</v>
      </c>
      <c r="N17" s="21"/>
      <c r="O17" s="21">
        <v>2</v>
      </c>
      <c r="P17" s="21"/>
      <c r="Q17" s="21">
        <v>1</v>
      </c>
      <c r="R17" s="21">
        <v>2</v>
      </c>
      <c r="S17" s="21">
        <v>5</v>
      </c>
      <c r="T17" s="21">
        <v>1</v>
      </c>
      <c r="U17" s="21">
        <v>4</v>
      </c>
      <c r="V17" s="21"/>
      <c r="W17" s="21">
        <v>1</v>
      </c>
      <c r="X17" s="21"/>
      <c r="Y17" s="21">
        <v>2</v>
      </c>
      <c r="Z17" s="21">
        <v>1</v>
      </c>
      <c r="AA17" s="21">
        <v>1</v>
      </c>
      <c r="AB17" s="21">
        <v>1</v>
      </c>
      <c r="AC17" s="21">
        <v>1</v>
      </c>
      <c r="AD17" s="21">
        <v>13</v>
      </c>
      <c r="AE17" s="21"/>
      <c r="AF17" s="21">
        <v>1</v>
      </c>
    </row>
    <row r="18" spans="1:32" s="1" customFormat="1" ht="18.2" customHeight="1" x14ac:dyDescent="0.2">
      <c r="A18" s="12" t="s">
        <v>184</v>
      </c>
      <c r="B18" s="8" t="s">
        <v>183</v>
      </c>
      <c r="C18" s="25">
        <v>3029</v>
      </c>
      <c r="D18" s="25">
        <v>3</v>
      </c>
      <c r="E18" s="25">
        <v>38</v>
      </c>
      <c r="F18" s="20">
        <v>29</v>
      </c>
      <c r="G18" s="20">
        <v>5</v>
      </c>
      <c r="H18" s="20">
        <v>192</v>
      </c>
      <c r="I18" s="20"/>
      <c r="J18" s="20">
        <v>12</v>
      </c>
      <c r="K18" s="20">
        <v>101</v>
      </c>
      <c r="L18" s="20"/>
      <c r="M18" s="20">
        <v>28</v>
      </c>
      <c r="N18" s="20">
        <v>17</v>
      </c>
      <c r="O18" s="20">
        <v>77</v>
      </c>
      <c r="P18" s="20">
        <v>23</v>
      </c>
      <c r="Q18" s="20">
        <v>43</v>
      </c>
      <c r="R18" s="20">
        <v>145</v>
      </c>
      <c r="S18" s="20">
        <v>389</v>
      </c>
      <c r="T18" s="20">
        <v>35</v>
      </c>
      <c r="U18" s="20">
        <v>612</v>
      </c>
      <c r="V18" s="20">
        <v>54</v>
      </c>
      <c r="W18" s="20">
        <v>1</v>
      </c>
      <c r="X18" s="20">
        <v>96</v>
      </c>
      <c r="Y18" s="20">
        <v>27</v>
      </c>
      <c r="Z18" s="20">
        <v>8</v>
      </c>
      <c r="AA18" s="20">
        <v>103</v>
      </c>
      <c r="AB18" s="20">
        <v>15</v>
      </c>
      <c r="AC18" s="20">
        <v>89</v>
      </c>
      <c r="AD18" s="20">
        <v>841</v>
      </c>
      <c r="AE18" s="20"/>
      <c r="AF18" s="20">
        <v>46</v>
      </c>
    </row>
    <row r="19" spans="1:32" x14ac:dyDescent="0.2">
      <c r="C19" s="20"/>
      <c r="E19" s="20"/>
      <c r="G19" s="20"/>
      <c r="I19" s="20"/>
      <c r="K19" s="20"/>
      <c r="M19" s="20"/>
      <c r="O19" s="20"/>
      <c r="Q19" s="20"/>
      <c r="S19" s="20"/>
      <c r="U19" s="20"/>
      <c r="W19" s="20"/>
      <c r="Y19" s="20"/>
      <c r="AA19" s="20"/>
      <c r="AC19" s="20"/>
      <c r="AE19" s="20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2" sqref="A2:O2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3" width="10" customWidth="1"/>
    <col min="4" max="9" width="15.42578125" customWidth="1"/>
    <col min="10" max="10" width="53.140625" customWidth="1"/>
  </cols>
  <sheetData>
    <row r="1" spans="1:9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28</v>
      </c>
      <c r="E1" s="2" t="s">
        <v>29</v>
      </c>
      <c r="F1" s="2" t="s">
        <v>30</v>
      </c>
      <c r="G1" s="2" t="s">
        <v>11</v>
      </c>
      <c r="H1" s="2" t="s">
        <v>31</v>
      </c>
      <c r="I1" s="2" t="s">
        <v>27</v>
      </c>
    </row>
    <row r="2" spans="1:9" s="1" customFormat="1" ht="14.1" customHeight="1" x14ac:dyDescent="0.2">
      <c r="A2" s="14" t="s">
        <v>198</v>
      </c>
      <c r="B2" s="18" t="s">
        <v>197</v>
      </c>
      <c r="C2" s="21">
        <v>893</v>
      </c>
      <c r="D2" s="21">
        <v>737</v>
      </c>
      <c r="E2" s="21">
        <v>123</v>
      </c>
      <c r="F2" s="21">
        <v>33</v>
      </c>
      <c r="G2" s="21"/>
      <c r="H2" s="21"/>
      <c r="I2" s="21"/>
    </row>
    <row r="3" spans="1:9" s="1" customFormat="1" ht="14.1" customHeight="1" x14ac:dyDescent="0.2">
      <c r="A3" s="14" t="s">
        <v>188</v>
      </c>
      <c r="B3" s="18" t="s">
        <v>187</v>
      </c>
      <c r="C3" s="21">
        <v>141</v>
      </c>
      <c r="D3" s="21">
        <v>125</v>
      </c>
      <c r="E3" s="21">
        <v>5</v>
      </c>
      <c r="F3" s="21">
        <v>11</v>
      </c>
      <c r="G3" s="21"/>
      <c r="H3" s="21"/>
      <c r="I3" s="21"/>
    </row>
    <row r="4" spans="1:9" s="1" customFormat="1" ht="14.1" customHeight="1" x14ac:dyDescent="0.2">
      <c r="A4" s="9" t="s">
        <v>200</v>
      </c>
      <c r="B4" s="8" t="s">
        <v>199</v>
      </c>
      <c r="C4" s="4">
        <v>432</v>
      </c>
      <c r="D4" s="4">
        <v>370</v>
      </c>
      <c r="E4" s="4">
        <v>45</v>
      </c>
      <c r="F4" s="4">
        <v>17</v>
      </c>
      <c r="G4" s="4"/>
      <c r="H4" s="4"/>
      <c r="I4" s="4"/>
    </row>
    <row r="5" spans="1:9" s="1" customFormat="1" ht="14.1" customHeight="1" x14ac:dyDescent="0.2">
      <c r="A5" s="12" t="s">
        <v>178</v>
      </c>
      <c r="B5" s="17" t="s">
        <v>177</v>
      </c>
      <c r="C5" s="20">
        <v>405</v>
      </c>
      <c r="D5" s="20">
        <v>344</v>
      </c>
      <c r="E5" s="20">
        <v>50</v>
      </c>
      <c r="F5" s="20">
        <v>11</v>
      </c>
      <c r="G5" s="20"/>
      <c r="H5" s="20"/>
      <c r="I5" s="20"/>
    </row>
    <row r="6" spans="1:9" s="1" customFormat="1" ht="18.2" customHeight="1" x14ac:dyDescent="0.2">
      <c r="A6" s="12" t="s">
        <v>196</v>
      </c>
      <c r="B6" s="8" t="s">
        <v>195</v>
      </c>
      <c r="C6" s="25">
        <v>10</v>
      </c>
      <c r="D6" s="25">
        <v>7</v>
      </c>
      <c r="E6" s="25">
        <v>3</v>
      </c>
      <c r="F6" s="20"/>
      <c r="G6" s="20"/>
      <c r="H6" s="20"/>
      <c r="I6" s="20"/>
    </row>
    <row r="7" spans="1:9" s="1" customFormat="1" ht="22.7" customHeight="1" x14ac:dyDescent="0.2">
      <c r="A7" s="10" t="s">
        <v>180</v>
      </c>
      <c r="B7" s="15" t="s">
        <v>179</v>
      </c>
      <c r="C7" s="4">
        <v>10</v>
      </c>
      <c r="D7" s="4">
        <v>9</v>
      </c>
      <c r="E7" s="4">
        <v>1</v>
      </c>
      <c r="F7" s="4"/>
      <c r="G7" s="4"/>
      <c r="H7" s="4"/>
      <c r="I7" s="4"/>
    </row>
    <row r="8" spans="1:9" s="1" customFormat="1" ht="14.1" customHeight="1" x14ac:dyDescent="0.2">
      <c r="A8" s="14" t="s">
        <v>186</v>
      </c>
      <c r="B8" s="18" t="s">
        <v>185</v>
      </c>
      <c r="C8" s="21">
        <v>117</v>
      </c>
      <c r="D8" s="21">
        <v>99</v>
      </c>
      <c r="E8" s="21">
        <v>16</v>
      </c>
      <c r="F8" s="21">
        <v>2</v>
      </c>
      <c r="G8" s="21"/>
      <c r="H8" s="21"/>
      <c r="I8" s="21"/>
    </row>
    <row r="9" spans="1:9" s="1" customFormat="1" ht="14.1" customHeight="1" x14ac:dyDescent="0.2">
      <c r="A9" s="14" t="s">
        <v>170</v>
      </c>
      <c r="B9" s="18" t="s">
        <v>169</v>
      </c>
      <c r="C9" s="21">
        <v>76</v>
      </c>
      <c r="D9" s="21">
        <v>69</v>
      </c>
      <c r="E9" s="21">
        <v>6</v>
      </c>
      <c r="F9" s="21">
        <v>1</v>
      </c>
      <c r="G9" s="21"/>
      <c r="H9" s="21"/>
      <c r="I9" s="21"/>
    </row>
    <row r="10" spans="1:9" s="1" customFormat="1" ht="14.1" customHeight="1" x14ac:dyDescent="0.2">
      <c r="A10" s="9" t="s">
        <v>176</v>
      </c>
      <c r="B10" s="8" t="s">
        <v>175</v>
      </c>
      <c r="C10" s="4">
        <v>34</v>
      </c>
      <c r="D10" s="4">
        <v>34</v>
      </c>
      <c r="E10" s="4"/>
      <c r="F10" s="4"/>
      <c r="G10" s="4"/>
      <c r="H10" s="4"/>
      <c r="I10" s="4"/>
    </row>
    <row r="11" spans="1:9" s="1" customFormat="1" ht="14.1" customHeight="1" x14ac:dyDescent="0.2">
      <c r="A11" s="12" t="s">
        <v>192</v>
      </c>
      <c r="B11" s="17" t="s">
        <v>191</v>
      </c>
      <c r="C11" s="20">
        <v>202</v>
      </c>
      <c r="D11" s="20">
        <v>169</v>
      </c>
      <c r="E11" s="20">
        <v>26</v>
      </c>
      <c r="F11" s="20">
        <v>7</v>
      </c>
      <c r="G11" s="20"/>
      <c r="H11" s="20"/>
      <c r="I11" s="20"/>
    </row>
    <row r="12" spans="1:9" s="1" customFormat="1" ht="18.2" customHeight="1" x14ac:dyDescent="0.2">
      <c r="A12" s="12" t="s">
        <v>172</v>
      </c>
      <c r="B12" s="8" t="s">
        <v>171</v>
      </c>
      <c r="C12" s="25">
        <v>56</v>
      </c>
      <c r="D12" s="25">
        <v>50</v>
      </c>
      <c r="E12" s="25">
        <v>6</v>
      </c>
      <c r="F12" s="20"/>
      <c r="G12" s="20"/>
      <c r="H12" s="20"/>
      <c r="I12" s="20"/>
    </row>
    <row r="13" spans="1:9" s="1" customFormat="1" ht="22.7" customHeight="1" x14ac:dyDescent="0.2">
      <c r="A13" s="10" t="s">
        <v>190</v>
      </c>
      <c r="B13" s="15" t="s">
        <v>189</v>
      </c>
      <c r="C13" s="4">
        <v>103</v>
      </c>
      <c r="D13" s="4">
        <v>97</v>
      </c>
      <c r="E13" s="4">
        <v>6</v>
      </c>
      <c r="F13" s="4"/>
      <c r="G13" s="4"/>
      <c r="H13" s="4"/>
      <c r="I13" s="4"/>
    </row>
    <row r="14" spans="1:9" s="1" customFormat="1" ht="14.1" customHeight="1" x14ac:dyDescent="0.2">
      <c r="A14" s="11" t="s">
        <v>182</v>
      </c>
      <c r="B14" s="16" t="s">
        <v>181</v>
      </c>
      <c r="C14" s="19">
        <v>26</v>
      </c>
      <c r="D14" s="19">
        <v>25</v>
      </c>
      <c r="E14" s="19">
        <v>1</v>
      </c>
      <c r="F14" s="19"/>
      <c r="G14" s="19"/>
      <c r="H14" s="19"/>
      <c r="I14" s="19"/>
    </row>
    <row r="15" spans="1:9" s="1" customFormat="1" ht="14.1" customHeight="1" x14ac:dyDescent="0.2">
      <c r="A15" s="13">
        <v>200017341</v>
      </c>
      <c r="B15" s="16" t="s">
        <v>168</v>
      </c>
      <c r="C15" s="19">
        <v>18</v>
      </c>
      <c r="D15" s="19">
        <v>13</v>
      </c>
      <c r="E15" s="19">
        <v>4</v>
      </c>
      <c r="F15" s="19">
        <v>1</v>
      </c>
      <c r="G15" s="19"/>
      <c r="H15" s="19"/>
      <c r="I15" s="19"/>
    </row>
    <row r="16" spans="1:9" s="1" customFormat="1" ht="14.1" customHeight="1" x14ac:dyDescent="0.2">
      <c r="A16" s="14" t="s">
        <v>174</v>
      </c>
      <c r="B16" s="18" t="s">
        <v>173</v>
      </c>
      <c r="C16" s="21">
        <v>18</v>
      </c>
      <c r="D16" s="21">
        <v>18</v>
      </c>
      <c r="E16" s="21"/>
      <c r="F16" s="21"/>
      <c r="G16" s="21"/>
      <c r="H16" s="21"/>
      <c r="I16" s="21"/>
    </row>
    <row r="17" spans="1:9" s="1" customFormat="1" ht="14.1" customHeight="1" x14ac:dyDescent="0.2">
      <c r="A17" s="14" t="s">
        <v>194</v>
      </c>
      <c r="B17" s="18" t="s">
        <v>193</v>
      </c>
      <c r="C17" s="21">
        <v>44</v>
      </c>
      <c r="D17" s="21">
        <v>39</v>
      </c>
      <c r="E17" s="21">
        <v>5</v>
      </c>
      <c r="F17" s="21"/>
      <c r="G17" s="21"/>
      <c r="H17" s="21"/>
      <c r="I17" s="21"/>
    </row>
    <row r="18" spans="1:9" s="1" customFormat="1" ht="14.1" customHeight="1" x14ac:dyDescent="0.2">
      <c r="A18" s="9" t="s">
        <v>184</v>
      </c>
      <c r="B18" s="8" t="s">
        <v>183</v>
      </c>
      <c r="C18" s="4">
        <v>3029</v>
      </c>
      <c r="D18" s="4">
        <v>2322</v>
      </c>
      <c r="E18" s="4">
        <v>565</v>
      </c>
      <c r="F18" s="4">
        <v>142</v>
      </c>
      <c r="G18" s="4"/>
      <c r="H18" s="4"/>
      <c r="I18" s="4"/>
    </row>
    <row r="19" spans="1:9" s="1" customFormat="1" ht="30" customHeight="1" x14ac:dyDescent="0.2"/>
    <row r="20" spans="1:9" s="1" customFormat="1" ht="30" customHeight="1" x14ac:dyDescent="0.2"/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2" sqref="A2:O2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6" width="10" customWidth="1"/>
    <col min="7" max="7" width="10.140625" customWidth="1"/>
    <col min="8" max="8" width="10" customWidth="1"/>
    <col min="9" max="9" width="10.140625" customWidth="1"/>
    <col min="10" max="10" width="10" customWidth="1"/>
    <col min="11" max="11" width="1" customWidth="1"/>
    <col min="12" max="16" width="10" customWidth="1"/>
    <col min="17" max="17" width="10.140625" customWidth="1"/>
  </cols>
  <sheetData>
    <row r="1" s="1" customFormat="1" ht="22.7" customHeight="1" x14ac:dyDescent="0.2"/>
    <row r="2" s="1" customFormat="1" ht="22.7" customHeight="1" x14ac:dyDescent="0.2"/>
    <row r="3" s="1" customFormat="1" ht="14.1" customHeight="1" x14ac:dyDescent="0.2"/>
    <row r="4" s="1" customFormat="1" ht="14.1" customHeight="1" x14ac:dyDescent="0.2"/>
    <row r="5" s="1" customFormat="1" ht="14.1" customHeight="1" x14ac:dyDescent="0.2"/>
    <row r="6" s="1" customFormat="1" ht="14.1" customHeight="1" x14ac:dyDescent="0.2"/>
    <row r="7" s="1" customFormat="1" ht="14.1" customHeight="1" x14ac:dyDescent="0.2"/>
    <row r="8" s="1" customFormat="1" ht="14.1" customHeight="1" x14ac:dyDescent="0.2"/>
    <row r="9" s="1" customFormat="1" ht="14.1" customHeight="1" x14ac:dyDescent="0.2"/>
    <row r="10" s="1" customFormat="1" ht="14.1" customHeight="1" x14ac:dyDescent="0.2"/>
    <row r="11" s="1" customFormat="1" ht="14.1" customHeight="1" x14ac:dyDescent="0.2"/>
    <row r="12" s="1" customFormat="1" ht="14.1" customHeight="1" x14ac:dyDescent="0.2"/>
    <row r="13" s="1" customFormat="1" ht="14.1" customHeight="1" x14ac:dyDescent="0.2"/>
    <row r="14" s="1" customFormat="1" ht="32.450000000000003" customHeight="1" x14ac:dyDescent="0.2"/>
    <row r="15" s="1" customFormat="1" ht="22.7" customHeight="1" x14ac:dyDescent="0.2"/>
    <row r="16" s="1" customFormat="1" ht="14.1" customHeight="1" x14ac:dyDescent="0.2"/>
    <row r="17" s="1" customFormat="1" ht="14.1" customHeight="1" x14ac:dyDescent="0.2"/>
    <row r="18" s="1" customFormat="1" ht="14.1" customHeight="1" x14ac:dyDescent="0.2"/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workbookViewId="0">
      <selection activeCell="I24" sqref="I24"/>
    </sheetView>
  </sheetViews>
  <sheetFormatPr baseColWidth="10" defaultRowHeight="12.75" x14ac:dyDescent="0.2"/>
  <cols>
    <col min="1" max="1" width="20" style="32" bestFit="1" customWidth="1"/>
    <col min="2" max="3" width="11.42578125" style="32"/>
    <col min="4" max="4" width="4.85546875" style="32" customWidth="1"/>
    <col min="5" max="5" width="12.85546875" style="32" customWidth="1"/>
    <col min="6" max="6" width="12.5703125" style="32" bestFit="1" customWidth="1"/>
    <col min="7" max="7" width="12.140625" style="32" customWidth="1"/>
    <col min="8" max="8" width="4.85546875" style="32" customWidth="1"/>
    <col min="9" max="9" width="13.85546875" style="32" customWidth="1"/>
    <col min="10" max="10" width="11.42578125" style="32"/>
    <col min="11" max="11" width="18.42578125" style="32" customWidth="1"/>
    <col min="12" max="12" width="3.85546875" style="32" customWidth="1"/>
    <col min="13" max="13" width="19.5703125" style="32" customWidth="1"/>
    <col min="14" max="14" width="7.85546875" style="32" customWidth="1"/>
    <col min="15" max="15" width="9.140625" style="32" customWidth="1"/>
    <col min="16" max="16" width="4.28515625" style="32" customWidth="1"/>
    <col min="17" max="16384" width="11.42578125" style="32"/>
  </cols>
  <sheetData>
    <row r="1" spans="1:22" ht="20.45" customHeight="1" x14ac:dyDescent="0.35">
      <c r="A1" s="102" t="str">
        <f>Fiche_EPCI!A1</f>
        <v>CC Lodévois et Larzac</v>
      </c>
      <c r="B1" s="102">
        <v>0</v>
      </c>
      <c r="C1" s="102">
        <v>0</v>
      </c>
      <c r="D1" s="102">
        <v>0</v>
      </c>
      <c r="E1" s="102">
        <v>0</v>
      </c>
      <c r="F1" s="102">
        <v>0</v>
      </c>
      <c r="G1" s="102">
        <v>0</v>
      </c>
      <c r="H1" s="102">
        <v>0</v>
      </c>
      <c r="I1" s="102">
        <v>0</v>
      </c>
      <c r="J1" s="102">
        <v>0</v>
      </c>
      <c r="K1" s="102">
        <v>0</v>
      </c>
      <c r="L1" s="102">
        <v>0</v>
      </c>
      <c r="M1" s="102">
        <v>0</v>
      </c>
      <c r="N1" s="102">
        <v>0</v>
      </c>
      <c r="O1" s="102">
        <v>0</v>
      </c>
      <c r="P1" s="63"/>
    </row>
    <row r="2" spans="1:22" ht="18.75" x14ac:dyDescent="0.3">
      <c r="A2" s="98" t="s">
        <v>269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62"/>
      <c r="Q2" s="34"/>
      <c r="R2" s="34"/>
      <c r="S2" s="34"/>
      <c r="T2" s="34"/>
      <c r="U2" s="34"/>
      <c r="V2" s="34"/>
    </row>
    <row r="3" spans="1:22" ht="18.75" x14ac:dyDescent="0.3">
      <c r="A3" s="95" t="s">
        <v>201</v>
      </c>
      <c r="B3" s="96"/>
      <c r="C3" s="97"/>
      <c r="D3" s="34"/>
      <c r="E3" s="95" t="s">
        <v>202</v>
      </c>
      <c r="F3" s="96"/>
      <c r="G3" s="97"/>
      <c r="H3" s="34"/>
      <c r="I3" s="95" t="s">
        <v>270</v>
      </c>
      <c r="J3" s="96"/>
      <c r="K3" s="97"/>
      <c r="L3" s="34"/>
      <c r="M3" s="95" t="s">
        <v>271</v>
      </c>
      <c r="N3" s="96"/>
      <c r="O3" s="97"/>
      <c r="P3" s="63"/>
      <c r="Q3" s="34"/>
      <c r="R3" s="34"/>
      <c r="S3" s="34"/>
      <c r="T3" s="34"/>
      <c r="U3" s="34"/>
      <c r="V3" s="34"/>
    </row>
    <row r="4" spans="1:22" ht="16.350000000000001" customHeight="1" x14ac:dyDescent="0.3">
      <c r="A4" s="35"/>
      <c r="B4" s="36"/>
      <c r="C4" s="37"/>
      <c r="D4" s="34"/>
      <c r="E4" s="35"/>
      <c r="F4" s="36"/>
      <c r="G4" s="37"/>
      <c r="H4" s="34"/>
      <c r="I4" s="35"/>
      <c r="J4" s="36"/>
      <c r="K4" s="37"/>
      <c r="L4" s="34"/>
      <c r="M4" s="35"/>
      <c r="N4" s="36"/>
      <c r="O4" s="37"/>
      <c r="P4" s="63"/>
      <c r="U4" s="34"/>
      <c r="V4" s="34"/>
    </row>
    <row r="5" spans="1:22" x14ac:dyDescent="0.2">
      <c r="A5" s="38" t="s">
        <v>272</v>
      </c>
      <c r="B5" s="40">
        <f xml:space="preserve"> Fiche_EPCI!B7+Fiche_EPCI!B20+Fiche_EPCI!B27</f>
        <v>0</v>
      </c>
      <c r="C5" s="39">
        <f t="shared" ref="C5:C14" si="0">B5/$B$16</f>
        <v>0</v>
      </c>
      <c r="D5" s="34"/>
      <c r="E5" s="38" t="s">
        <v>273</v>
      </c>
      <c r="F5" s="40">
        <f>Fiche_EPCI!U9</f>
        <v>7</v>
      </c>
      <c r="G5" s="54">
        <f>F5/$F$9</f>
        <v>0.3888888888888889</v>
      </c>
      <c r="H5" s="34"/>
      <c r="I5" s="38" t="s">
        <v>274</v>
      </c>
      <c r="J5" s="40">
        <f>Fiche_EPCI!F21+Fiche_EPCI!F22</f>
        <v>1</v>
      </c>
      <c r="K5" s="67">
        <f t="shared" ref="K5:K10" si="1">J5/$J$14</f>
        <v>5.5555555555555552E-2</v>
      </c>
      <c r="L5" s="34"/>
      <c r="M5" s="49" t="s">
        <v>275</v>
      </c>
      <c r="N5" s="40">
        <f>Fiche_EPCI!N23+Fiche_EPCI!N37+Fiche_EPCI!N39+Fiche_EPCI!N40+Fiche_EPCI!N24</f>
        <v>0</v>
      </c>
      <c r="O5" s="39">
        <f t="shared" ref="O5:O12" si="2">N5/$N$14</f>
        <v>0</v>
      </c>
      <c r="P5" s="34"/>
      <c r="U5" s="34"/>
      <c r="V5" s="34"/>
    </row>
    <row r="6" spans="1:22" x14ac:dyDescent="0.2">
      <c r="A6" s="38" t="s">
        <v>276</v>
      </c>
      <c r="B6" s="40">
        <f>Fiche_EPCI!B8+Fiche_EPCI!B10+Fiche_EPCI!B11+Fiche_EPCI!B31+Fiche_EPCI!B25+Fiche_EPCI!B28</f>
        <v>1</v>
      </c>
      <c r="C6" s="39">
        <f t="shared" si="0"/>
        <v>5.5555555555555552E-2</v>
      </c>
      <c r="D6" s="34"/>
      <c r="E6" s="38" t="s">
        <v>277</v>
      </c>
      <c r="F6" s="40">
        <f>Fiche_EPCI!U10</f>
        <v>11</v>
      </c>
      <c r="G6" s="54">
        <f>F6/$F$9</f>
        <v>0.61111111111111116</v>
      </c>
      <c r="H6" s="34"/>
      <c r="I6" s="38" t="s">
        <v>81</v>
      </c>
      <c r="J6" s="40">
        <f>Fiche_EPCI!F23</f>
        <v>8</v>
      </c>
      <c r="K6" s="67">
        <f t="shared" si="1"/>
        <v>0.44444444444444442</v>
      </c>
      <c r="L6" s="34"/>
      <c r="M6" s="49" t="s">
        <v>278</v>
      </c>
      <c r="N6" s="40">
        <f>Fiche_EPCI!N25+Fiche_EPCI!N41+Fiche_EPCI!N34+Fiche_EPCI!N35+Fiche_EPCI!N36+Fiche_EPCI!N38</f>
        <v>3</v>
      </c>
      <c r="O6" s="68">
        <f t="shared" si="2"/>
        <v>0.16666666666666666</v>
      </c>
      <c r="P6" s="34"/>
      <c r="U6" s="34"/>
      <c r="V6" s="34"/>
    </row>
    <row r="7" spans="1:22" x14ac:dyDescent="0.2">
      <c r="A7" s="38" t="s">
        <v>279</v>
      </c>
      <c r="B7" s="40">
        <f>Fiche_EPCI!B12+Fiche_EPCI!B24</f>
        <v>1</v>
      </c>
      <c r="C7" s="39">
        <f t="shared" si="0"/>
        <v>5.5555555555555552E-2</v>
      </c>
      <c r="D7" s="34"/>
      <c r="E7" s="38" t="s">
        <v>214</v>
      </c>
      <c r="F7" s="40">
        <f>Fiche_EPCI!U11</f>
        <v>0</v>
      </c>
      <c r="G7" s="54">
        <f>F7/$F$9</f>
        <v>0</v>
      </c>
      <c r="H7" s="34"/>
      <c r="I7" s="38" t="s">
        <v>82</v>
      </c>
      <c r="J7" s="40">
        <f>Fiche_EPCI!F24</f>
        <v>4</v>
      </c>
      <c r="K7" s="67">
        <f t="shared" si="1"/>
        <v>0.22222222222222221</v>
      </c>
      <c r="L7" s="34"/>
      <c r="M7" s="38" t="s">
        <v>280</v>
      </c>
      <c r="N7" s="40">
        <f>Fiche_EPCI!N26+Fiche_EPCI!N27+Fiche_EPCI!N31</f>
        <v>1</v>
      </c>
      <c r="O7" s="68">
        <f t="shared" si="2"/>
        <v>5.5555555555555552E-2</v>
      </c>
      <c r="P7" s="34"/>
      <c r="U7" s="34"/>
      <c r="V7" s="34"/>
    </row>
    <row r="8" spans="1:22" x14ac:dyDescent="0.2">
      <c r="A8" s="38" t="s">
        <v>281</v>
      </c>
      <c r="B8" s="40">
        <f>Fiche_EPCI!B9+Fiche_EPCI!B30+Fiche_EPCI!B16+Fiche_EPCI!B22</f>
        <v>0</v>
      </c>
      <c r="C8" s="39">
        <f t="shared" si="0"/>
        <v>0</v>
      </c>
      <c r="D8" s="34"/>
      <c r="E8" s="38"/>
      <c r="F8" s="42"/>
      <c r="G8" s="69"/>
      <c r="H8" s="34"/>
      <c r="I8" s="38" t="s">
        <v>83</v>
      </c>
      <c r="J8" s="40">
        <f>Fiche_EPCI!F25</f>
        <v>1</v>
      </c>
      <c r="K8" s="67">
        <f t="shared" si="1"/>
        <v>5.5555555555555552E-2</v>
      </c>
      <c r="L8" s="34"/>
      <c r="M8" s="38" t="s">
        <v>102</v>
      </c>
      <c r="N8" s="40">
        <f>Fiche_EPCI!N28</f>
        <v>0</v>
      </c>
      <c r="O8" s="68">
        <f t="shared" si="2"/>
        <v>0</v>
      </c>
      <c r="P8" s="34"/>
      <c r="U8" s="34"/>
      <c r="V8" s="34"/>
    </row>
    <row r="9" spans="1:22" x14ac:dyDescent="0.2">
      <c r="A9" s="38" t="s">
        <v>282</v>
      </c>
      <c r="B9" s="40">
        <f>Fiche_EPCI!B13+Fiche_EPCI!B14+Fiche_EPCI!B15+Fiche_EPCI!B17+Fiche_EPCI!B18+Fiche_EPCI!B19</f>
        <v>11</v>
      </c>
      <c r="C9" s="39">
        <f t="shared" si="0"/>
        <v>0.61111111111111116</v>
      </c>
      <c r="D9" s="34"/>
      <c r="E9" s="44"/>
      <c r="F9" s="45">
        <f>SUM(F5:F7)</f>
        <v>18</v>
      </c>
      <c r="G9" s="48">
        <f>SUM(G5:G7)</f>
        <v>1</v>
      </c>
      <c r="H9" s="34"/>
      <c r="I9" s="38" t="s">
        <v>283</v>
      </c>
      <c r="J9" s="40">
        <f>Fiche_EPCI!F26+Fiche_EPCI!F27+Fiche_EPCI!F28+Fiche_EPCI!F29+Fiche_EPCI!F30+Fiche_EPCI!F31+Fiche_EPCI!F32</f>
        <v>4</v>
      </c>
      <c r="K9" s="67">
        <f t="shared" si="1"/>
        <v>0.22222222222222221</v>
      </c>
      <c r="L9" s="34"/>
      <c r="M9" s="38" t="s">
        <v>229</v>
      </c>
      <c r="N9" s="40">
        <f>Fiche_EPCI!N29</f>
        <v>4</v>
      </c>
      <c r="O9" s="68">
        <f t="shared" si="2"/>
        <v>0.22222222222222221</v>
      </c>
      <c r="P9" s="34"/>
      <c r="U9" s="34"/>
      <c r="V9" s="34"/>
    </row>
    <row r="10" spans="1:22" x14ac:dyDescent="0.2">
      <c r="A10" s="38" t="s">
        <v>284</v>
      </c>
      <c r="B10" s="40">
        <f>Fiche_EPCI!B26+Fiche_EPCI!B21</f>
        <v>1</v>
      </c>
      <c r="C10" s="39">
        <f t="shared" si="0"/>
        <v>5.5555555555555552E-2</v>
      </c>
      <c r="D10" s="34"/>
      <c r="E10" s="34"/>
      <c r="F10" s="34"/>
      <c r="G10" s="34"/>
      <c r="H10" s="34"/>
      <c r="I10" s="38" t="s">
        <v>214</v>
      </c>
      <c r="J10" s="40">
        <f>Fiche_EPCI!F33</f>
        <v>0</v>
      </c>
      <c r="K10" s="67">
        <f t="shared" si="1"/>
        <v>0</v>
      </c>
      <c r="L10" s="34"/>
      <c r="M10" s="38" t="s">
        <v>231</v>
      </c>
      <c r="N10" s="40">
        <f>Fiche_EPCI!N30</f>
        <v>10</v>
      </c>
      <c r="O10" s="68">
        <f t="shared" si="2"/>
        <v>0.55555555555555558</v>
      </c>
      <c r="P10" s="34"/>
      <c r="U10" s="34"/>
      <c r="V10" s="34"/>
    </row>
    <row r="11" spans="1:22" x14ac:dyDescent="0.2">
      <c r="A11" s="38" t="s">
        <v>135</v>
      </c>
      <c r="B11" s="40">
        <f>Fiche_EPCI!B23</f>
        <v>0</v>
      </c>
      <c r="C11" s="39">
        <f t="shared" si="0"/>
        <v>0</v>
      </c>
      <c r="D11" s="34"/>
      <c r="E11" s="34"/>
      <c r="F11" s="34"/>
      <c r="G11" s="34"/>
      <c r="H11" s="34"/>
      <c r="I11" s="38"/>
      <c r="J11" s="42"/>
      <c r="K11" s="56"/>
      <c r="L11" s="34"/>
      <c r="M11" s="38" t="s">
        <v>285</v>
      </c>
      <c r="N11" s="40">
        <f>Fiche_EPCI!N33+Fiche_EPCI!N32</f>
        <v>0</v>
      </c>
      <c r="O11" s="68">
        <f t="shared" si="2"/>
        <v>0</v>
      </c>
      <c r="P11" s="34"/>
      <c r="U11" s="34"/>
      <c r="V11" s="34"/>
    </row>
    <row r="12" spans="1:22" ht="18.75" x14ac:dyDescent="0.2">
      <c r="A12" s="38" t="s">
        <v>286</v>
      </c>
      <c r="B12" s="40">
        <f>Fiche_EPCI!B29</f>
        <v>4</v>
      </c>
      <c r="C12" s="39">
        <f t="shared" si="0"/>
        <v>0.22222222222222221</v>
      </c>
      <c r="D12" s="34"/>
      <c r="E12" s="103" t="s">
        <v>287</v>
      </c>
      <c r="F12" s="104"/>
      <c r="G12" s="105"/>
      <c r="H12" s="34"/>
      <c r="I12" s="51" t="s">
        <v>239</v>
      </c>
      <c r="J12" s="52">
        <f>Fiche_EPCI!F35</f>
        <v>1424.1111111111111</v>
      </c>
      <c r="K12" s="56"/>
      <c r="L12" s="34"/>
      <c r="M12" s="38" t="s">
        <v>214</v>
      </c>
      <c r="N12" s="40">
        <f>Fiche_EPCI!N42</f>
        <v>0</v>
      </c>
      <c r="O12" s="68">
        <f t="shared" si="2"/>
        <v>0</v>
      </c>
      <c r="P12" s="34"/>
      <c r="U12" s="34"/>
      <c r="V12" s="34"/>
    </row>
    <row r="13" spans="1:22" ht="13.7" customHeight="1" x14ac:dyDescent="0.2">
      <c r="A13" s="38" t="s">
        <v>116</v>
      </c>
      <c r="B13" s="40">
        <f>Fiche_EPCI!B32</f>
        <v>0</v>
      </c>
      <c r="C13" s="39">
        <f t="shared" si="0"/>
        <v>0</v>
      </c>
      <c r="D13" s="34"/>
      <c r="E13" s="35"/>
      <c r="F13" s="33"/>
      <c r="G13" s="70"/>
      <c r="H13" s="34"/>
      <c r="I13" s="38"/>
      <c r="J13" s="42"/>
      <c r="K13" s="69"/>
      <c r="L13" s="34"/>
      <c r="M13" s="38"/>
      <c r="N13" s="42"/>
      <c r="O13" s="43"/>
      <c r="P13" s="34"/>
      <c r="U13" s="34"/>
      <c r="V13" s="34"/>
    </row>
    <row r="14" spans="1:22" ht="15" x14ac:dyDescent="0.25">
      <c r="A14" s="38" t="s">
        <v>214</v>
      </c>
      <c r="B14" s="40">
        <f>Fiche_EPCI!B33</f>
        <v>0</v>
      </c>
      <c r="C14" s="39">
        <f t="shared" si="0"/>
        <v>0</v>
      </c>
      <c r="D14" s="34"/>
      <c r="E14" s="71" t="s">
        <v>207</v>
      </c>
      <c r="F14" s="72">
        <f>Fiche_EPCI!N13</f>
        <v>2</v>
      </c>
      <c r="G14" s="73">
        <f t="shared" ref="G14:G20" si="3">F14/$F$22</f>
        <v>0.1111111111111111</v>
      </c>
      <c r="H14" s="34"/>
      <c r="I14" s="47"/>
      <c r="J14" s="45">
        <f>SUM(J5:J10)</f>
        <v>18</v>
      </c>
      <c r="K14" s="48">
        <f>SUM(K5:K10)</f>
        <v>1</v>
      </c>
      <c r="L14" s="34"/>
      <c r="M14" s="47"/>
      <c r="N14" s="45">
        <f>SUM(N5:N12)</f>
        <v>18</v>
      </c>
      <c r="O14" s="46">
        <f>SUM(O5:O12)</f>
        <v>1</v>
      </c>
      <c r="P14" s="34"/>
      <c r="U14" s="34"/>
      <c r="V14" s="34"/>
    </row>
    <row r="15" spans="1:22" ht="15" x14ac:dyDescent="0.25">
      <c r="A15" s="38"/>
      <c r="B15" s="42"/>
      <c r="C15" s="43"/>
      <c r="D15" s="34"/>
      <c r="E15" s="71">
        <v>1</v>
      </c>
      <c r="F15" s="74">
        <f>Fiche_EPCI!O13</f>
        <v>6</v>
      </c>
      <c r="G15" s="73">
        <f t="shared" si="3"/>
        <v>0.33333333333333331</v>
      </c>
      <c r="H15" s="34"/>
      <c r="L15" s="34"/>
      <c r="M15" s="34"/>
      <c r="N15" s="34"/>
      <c r="O15" s="34"/>
      <c r="P15" s="34"/>
      <c r="U15" s="34"/>
      <c r="V15" s="34"/>
    </row>
    <row r="16" spans="1:22" ht="15" x14ac:dyDescent="0.25">
      <c r="A16" s="47"/>
      <c r="B16" s="45">
        <f>SUM(B5:B14)</f>
        <v>18</v>
      </c>
      <c r="C16" s="46">
        <f>B16/$B$16</f>
        <v>1</v>
      </c>
      <c r="D16" s="34"/>
      <c r="E16" s="71">
        <v>2</v>
      </c>
      <c r="F16" s="74">
        <f>Fiche_EPCI!P13</f>
        <v>4</v>
      </c>
      <c r="G16" s="73">
        <f t="shared" si="3"/>
        <v>0.22222222222222221</v>
      </c>
      <c r="H16" s="34"/>
      <c r="I16" s="34"/>
      <c r="J16" s="34"/>
      <c r="K16" s="34"/>
      <c r="L16" s="34"/>
      <c r="M16" s="34"/>
      <c r="N16" s="34"/>
      <c r="O16" s="34"/>
      <c r="P16" s="34"/>
      <c r="U16" s="34"/>
      <c r="V16" s="34"/>
    </row>
    <row r="17" spans="1:22" ht="18.75" x14ac:dyDescent="0.3">
      <c r="A17" s="75"/>
      <c r="B17" s="76"/>
      <c r="C17" s="75"/>
      <c r="D17" s="34"/>
      <c r="E17" s="71">
        <v>3</v>
      </c>
      <c r="F17" s="74">
        <f>Fiche_EPCI!Q13</f>
        <v>4</v>
      </c>
      <c r="G17" s="73">
        <f t="shared" si="3"/>
        <v>0.22222222222222221</v>
      </c>
      <c r="H17" s="34"/>
      <c r="I17" s="95" t="s">
        <v>218</v>
      </c>
      <c r="J17" s="96"/>
      <c r="K17" s="97"/>
      <c r="L17" s="34"/>
      <c r="M17" s="95" t="s">
        <v>220</v>
      </c>
      <c r="N17" s="96"/>
      <c r="O17" s="97"/>
      <c r="P17" s="34"/>
      <c r="Q17" s="34"/>
      <c r="R17" s="34"/>
      <c r="S17" s="34"/>
      <c r="T17" s="34"/>
      <c r="U17" s="34"/>
      <c r="V17" s="34"/>
    </row>
    <row r="18" spans="1:22" ht="16.350000000000001" customHeight="1" x14ac:dyDescent="0.3">
      <c r="A18" s="95" t="s">
        <v>240</v>
      </c>
      <c r="B18" s="100"/>
      <c r="C18" s="101"/>
      <c r="D18" s="34"/>
      <c r="E18" s="71">
        <v>4</v>
      </c>
      <c r="F18" s="74">
        <f>Fiche_EPCI!R13</f>
        <v>1</v>
      </c>
      <c r="G18" s="73">
        <f t="shared" si="3"/>
        <v>5.5555555555555552E-2</v>
      </c>
      <c r="H18" s="34"/>
      <c r="I18" s="35"/>
      <c r="J18" s="36"/>
      <c r="K18" s="37"/>
      <c r="L18" s="34"/>
      <c r="M18" s="77"/>
      <c r="N18" s="36"/>
      <c r="O18" s="37"/>
      <c r="P18" s="34"/>
      <c r="Q18" s="34"/>
      <c r="R18" s="34"/>
      <c r="S18" s="34"/>
      <c r="T18" s="34"/>
      <c r="U18" s="34"/>
      <c r="V18" s="34"/>
    </row>
    <row r="19" spans="1:22" ht="15" x14ac:dyDescent="0.25">
      <c r="A19" s="35"/>
      <c r="B19" s="36"/>
      <c r="C19" s="37"/>
      <c r="D19" s="34"/>
      <c r="E19" s="71" t="s">
        <v>288</v>
      </c>
      <c r="F19" s="74">
        <f>Fiche_EPCI!S13+Fiche_EPCI!T13</f>
        <v>1</v>
      </c>
      <c r="G19" s="73">
        <f t="shared" si="3"/>
        <v>5.5555555555555552E-2</v>
      </c>
      <c r="H19" s="34"/>
      <c r="I19" s="38" t="s">
        <v>274</v>
      </c>
      <c r="J19" s="40">
        <f>Fiche_EPCI!J21+Fiche_EPCI!J22</f>
        <v>7</v>
      </c>
      <c r="K19" s="67">
        <f t="shared" ref="K19:K24" si="4">J19/$J$28</f>
        <v>0.3888888888888889</v>
      </c>
      <c r="L19" s="34"/>
      <c r="M19" s="38" t="s">
        <v>222</v>
      </c>
      <c r="N19" s="40">
        <f>Fiche_EPCI!J40</f>
        <v>1</v>
      </c>
      <c r="O19" s="64">
        <f t="shared" ref="O19:O26" si="5">N19/$N$30</f>
        <v>5.5555555555555552E-2</v>
      </c>
      <c r="P19" s="34"/>
      <c r="Q19" s="34"/>
      <c r="R19" s="34"/>
      <c r="S19" s="34"/>
      <c r="T19" s="34"/>
      <c r="U19" s="34"/>
    </row>
    <row r="20" spans="1:22" ht="15" x14ac:dyDescent="0.25">
      <c r="A20" s="38" t="s">
        <v>245</v>
      </c>
      <c r="B20" s="78">
        <f>Fiche_EPCI!B39</f>
        <v>11</v>
      </c>
      <c r="C20" s="54">
        <f>B20/$B$26</f>
        <v>0.61111111111111116</v>
      </c>
      <c r="D20" s="34"/>
      <c r="E20" s="35" t="s">
        <v>214</v>
      </c>
      <c r="F20" s="74">
        <f>Fiche_EPCI!U11</f>
        <v>0</v>
      </c>
      <c r="G20" s="73">
        <f t="shared" si="3"/>
        <v>0</v>
      </c>
      <c r="H20" s="34"/>
      <c r="I20" s="38" t="s">
        <v>81</v>
      </c>
      <c r="J20" s="40">
        <f>Fiche_EPCI!J23</f>
        <v>8</v>
      </c>
      <c r="K20" s="67">
        <f t="shared" si="4"/>
        <v>0.44444444444444442</v>
      </c>
      <c r="L20" s="34"/>
      <c r="M20" s="38" t="s">
        <v>289</v>
      </c>
      <c r="N20" s="40">
        <f>Fiche_EPCI!J41+Fiche_EPCI!J42</f>
        <v>3</v>
      </c>
      <c r="O20" s="64">
        <f t="shared" si="5"/>
        <v>0.16666666666666666</v>
      </c>
      <c r="P20" s="34"/>
      <c r="Q20" s="34"/>
      <c r="R20" s="34"/>
      <c r="S20" s="34"/>
      <c r="T20" s="34"/>
      <c r="U20" s="34"/>
    </row>
    <row r="21" spans="1:22" ht="15" x14ac:dyDescent="0.25">
      <c r="A21" s="38" t="s">
        <v>5</v>
      </c>
      <c r="B21" s="78">
        <f>Fiche_EPCI!B40</f>
        <v>3</v>
      </c>
      <c r="C21" s="54">
        <f>B21/$B$26</f>
        <v>0.16666666666666666</v>
      </c>
      <c r="D21" s="50"/>
      <c r="E21" s="35"/>
      <c r="F21" s="58"/>
      <c r="G21" s="79"/>
      <c r="H21" s="34"/>
      <c r="I21" s="38" t="s">
        <v>82</v>
      </c>
      <c r="J21" s="40">
        <f>Fiche_EPCI!J24</f>
        <v>1</v>
      </c>
      <c r="K21" s="67">
        <f t="shared" si="4"/>
        <v>5.5555555555555552E-2</v>
      </c>
      <c r="L21" s="34"/>
      <c r="M21" s="38" t="s">
        <v>290</v>
      </c>
      <c r="N21" s="40">
        <f>Fiche_EPCI!J43+Fiche_EPCI!J44</f>
        <v>8</v>
      </c>
      <c r="O21" s="64">
        <f t="shared" si="5"/>
        <v>0.44444444444444442</v>
      </c>
      <c r="P21" s="34"/>
      <c r="Q21" s="34"/>
      <c r="R21" s="34"/>
      <c r="S21" s="34"/>
      <c r="T21" s="34"/>
      <c r="U21" s="34"/>
    </row>
    <row r="22" spans="1:22" ht="15" x14ac:dyDescent="0.25">
      <c r="A22" s="38" t="s">
        <v>291</v>
      </c>
      <c r="B22" s="78">
        <f>Fiche_EPCI!B41+Fiche_EPCI!B42+Fiche_EPCI!B43+Fiche_EPCI!B44+Fiche_EPCI!B45</f>
        <v>4</v>
      </c>
      <c r="C22" s="54">
        <f>B22/$B$26</f>
        <v>0.22222222222222221</v>
      </c>
      <c r="E22" s="59"/>
      <c r="F22" s="60">
        <f>SUM(F14:F20)</f>
        <v>18</v>
      </c>
      <c r="G22" s="80">
        <f>SUM(G14:G20)</f>
        <v>1</v>
      </c>
      <c r="H22" s="34"/>
      <c r="I22" s="38" t="s">
        <v>83</v>
      </c>
      <c r="J22" s="40">
        <f>Fiche_EPCI!J25</f>
        <v>1</v>
      </c>
      <c r="K22" s="67">
        <f t="shared" si="4"/>
        <v>5.5555555555555552E-2</v>
      </c>
      <c r="L22" s="34"/>
      <c r="M22" s="38" t="s">
        <v>292</v>
      </c>
      <c r="N22" s="40">
        <f>Fiche_EPCI!J45+Fiche_EPCI!J46</f>
        <v>4</v>
      </c>
      <c r="O22" s="64">
        <f t="shared" si="5"/>
        <v>0.22222222222222221</v>
      </c>
      <c r="P22" s="34"/>
      <c r="Q22" s="34"/>
      <c r="R22" s="34"/>
      <c r="S22" s="34"/>
      <c r="T22" s="34"/>
      <c r="U22" s="34"/>
    </row>
    <row r="23" spans="1:22" ht="15" x14ac:dyDescent="0.25">
      <c r="A23" s="38"/>
      <c r="B23" s="55"/>
      <c r="C23" s="81"/>
      <c r="H23" s="34"/>
      <c r="I23" s="38" t="s">
        <v>283</v>
      </c>
      <c r="J23" s="40">
        <f>Fiche_EPCI!J26+Fiche_EPCI!J27+Fiche_EPCI!J28+Fiche_EPCI!J29+Fiche_EPCI!J30+Fiche_EPCI!J31+Fiche_EPCI!J32</f>
        <v>1</v>
      </c>
      <c r="K23" s="67">
        <f t="shared" si="4"/>
        <v>5.5555555555555552E-2</v>
      </c>
      <c r="L23" s="34"/>
      <c r="M23" s="82" t="s">
        <v>293</v>
      </c>
      <c r="N23" s="40">
        <f>Fiche_EPCI!J47+Fiche_EPCI!J48</f>
        <v>1</v>
      </c>
      <c r="O23" s="64">
        <f t="shared" si="5"/>
        <v>5.5555555555555552E-2</v>
      </c>
      <c r="P23" s="34"/>
      <c r="Q23" s="34"/>
      <c r="R23" s="34"/>
      <c r="S23" s="34"/>
      <c r="T23" s="34"/>
      <c r="U23" s="34"/>
    </row>
    <row r="24" spans="1:22" ht="15" x14ac:dyDescent="0.25">
      <c r="A24" s="51" t="s">
        <v>294</v>
      </c>
      <c r="B24" s="83">
        <f>Fiche_EPCI!B47</f>
        <v>15.503584229390677</v>
      </c>
      <c r="C24" s="81"/>
      <c r="E24" s="34"/>
      <c r="F24" s="34"/>
      <c r="G24" s="34"/>
      <c r="H24" s="34"/>
      <c r="I24" s="38" t="s">
        <v>214</v>
      </c>
      <c r="J24" s="40">
        <f>Fiche_EPCI!J33</f>
        <v>0</v>
      </c>
      <c r="K24" s="67">
        <f t="shared" si="4"/>
        <v>0</v>
      </c>
      <c r="L24" s="34"/>
      <c r="M24" s="38" t="s">
        <v>295</v>
      </c>
      <c r="N24" s="40">
        <f>Fiche_EPCI!J49+Fiche_EPCI!J50</f>
        <v>1</v>
      </c>
      <c r="O24" s="64">
        <f t="shared" si="5"/>
        <v>5.5555555555555552E-2</v>
      </c>
      <c r="P24" s="34"/>
      <c r="Q24" s="34"/>
      <c r="R24" s="34"/>
      <c r="S24" s="34"/>
      <c r="T24" s="34"/>
      <c r="U24" s="34"/>
    </row>
    <row r="25" spans="1:22" ht="18.75" x14ac:dyDescent="0.3">
      <c r="A25" s="38"/>
      <c r="B25" s="84"/>
      <c r="C25" s="81"/>
      <c r="E25" s="95" t="s">
        <v>243</v>
      </c>
      <c r="F25" s="96"/>
      <c r="G25" s="97"/>
      <c r="H25" s="34"/>
      <c r="I25" s="38"/>
      <c r="J25" s="42"/>
      <c r="K25" s="56"/>
      <c r="L25" s="34"/>
      <c r="M25" s="38" t="s">
        <v>296</v>
      </c>
      <c r="N25" s="40">
        <f>Fiche_EPCI!J51+Fiche_EPCI!J52</f>
        <v>0</v>
      </c>
      <c r="O25" s="64">
        <f t="shared" si="5"/>
        <v>0</v>
      </c>
      <c r="P25" s="34"/>
      <c r="Q25" s="34"/>
      <c r="R25" s="34"/>
      <c r="S25" s="34"/>
      <c r="T25" s="34"/>
      <c r="U25" s="34"/>
    </row>
    <row r="26" spans="1:22" ht="18" customHeight="1" x14ac:dyDescent="0.25">
      <c r="A26" s="47"/>
      <c r="B26" s="85">
        <f>SUM(B20:B22)</f>
        <v>18</v>
      </c>
      <c r="C26" s="80">
        <f>B26/$B$26</f>
        <v>1</v>
      </c>
      <c r="E26" s="35"/>
      <c r="F26" s="36"/>
      <c r="G26" s="37"/>
      <c r="H26" s="34"/>
      <c r="I26" s="51" t="s">
        <v>239</v>
      </c>
      <c r="J26" s="52">
        <f>Fiche_EPCI!J35</f>
        <v>731.88888888888891</v>
      </c>
      <c r="K26" s="56"/>
      <c r="L26" s="34"/>
      <c r="M26" s="38" t="s">
        <v>214</v>
      </c>
      <c r="N26" s="40">
        <f>Fiche_EPCI!J53</f>
        <v>0</v>
      </c>
      <c r="O26" s="64">
        <f t="shared" si="5"/>
        <v>0</v>
      </c>
      <c r="P26" s="34"/>
      <c r="Q26" s="34"/>
      <c r="R26" s="34"/>
      <c r="S26" s="34"/>
      <c r="T26" s="34"/>
      <c r="U26" s="34"/>
    </row>
    <row r="27" spans="1:22" x14ac:dyDescent="0.2">
      <c r="E27" s="38" t="s">
        <v>33</v>
      </c>
      <c r="F27" s="40">
        <f>Fiche_EPCI!F40</f>
        <v>2</v>
      </c>
      <c r="G27" s="54">
        <f t="shared" ref="G27:G32" si="6">F27/$F$36</f>
        <v>0.1111111111111111</v>
      </c>
      <c r="H27" s="34"/>
      <c r="I27" s="38"/>
      <c r="J27" s="42"/>
      <c r="K27" s="41"/>
      <c r="L27" s="34"/>
      <c r="M27" s="82"/>
      <c r="N27" s="42"/>
      <c r="O27" s="65"/>
      <c r="P27" s="34"/>
      <c r="Q27" s="34"/>
      <c r="R27" s="34"/>
      <c r="S27" s="34"/>
      <c r="T27" s="34"/>
      <c r="U27" s="34"/>
    </row>
    <row r="28" spans="1:22" ht="12.6" customHeight="1" x14ac:dyDescent="0.2">
      <c r="B28" s="53"/>
      <c r="E28" s="38" t="s">
        <v>34</v>
      </c>
      <c r="F28" s="40">
        <f>Fiche_EPCI!F41</f>
        <v>4</v>
      </c>
      <c r="G28" s="54">
        <f t="shared" si="6"/>
        <v>0.22222222222222221</v>
      </c>
      <c r="H28" s="34"/>
      <c r="I28" s="47"/>
      <c r="J28" s="45">
        <f>SUM(J19:J24)</f>
        <v>18</v>
      </c>
      <c r="K28" s="48">
        <f>SUM(K19:K24)</f>
        <v>1</v>
      </c>
      <c r="L28" s="34"/>
      <c r="M28" s="51" t="s">
        <v>242</v>
      </c>
      <c r="N28" s="86">
        <f>Fiche_EPCI!J55</f>
        <v>36</v>
      </c>
      <c r="O28" s="65"/>
      <c r="P28" s="34"/>
      <c r="Q28" s="34"/>
      <c r="R28" s="34"/>
      <c r="S28" s="34"/>
      <c r="T28" s="34"/>
      <c r="U28" s="34"/>
    </row>
    <row r="29" spans="1:22" ht="18.75" x14ac:dyDescent="0.3">
      <c r="A29" s="95" t="s">
        <v>203</v>
      </c>
      <c r="B29" s="96"/>
      <c r="C29" s="97"/>
      <c r="D29" s="50"/>
      <c r="E29" s="38" t="s">
        <v>35</v>
      </c>
      <c r="F29" s="40">
        <f>Fiche_EPCI!F42</f>
        <v>5</v>
      </c>
      <c r="G29" s="54">
        <f t="shared" si="6"/>
        <v>0.27777777777777779</v>
      </c>
      <c r="H29" s="34"/>
      <c r="I29" s="34"/>
      <c r="J29" s="34"/>
      <c r="K29" s="34"/>
      <c r="L29" s="34"/>
      <c r="M29" s="38"/>
      <c r="N29" s="42"/>
      <c r="O29" s="65"/>
      <c r="T29" s="34"/>
      <c r="U29" s="34"/>
    </row>
    <row r="30" spans="1:22" ht="14.45" customHeight="1" x14ac:dyDescent="0.3">
      <c r="A30" s="35"/>
      <c r="B30" s="36"/>
      <c r="C30" s="37"/>
      <c r="D30" s="50"/>
      <c r="E30" s="38" t="s">
        <v>36</v>
      </c>
      <c r="F30" s="40">
        <f>Fiche_EPCI!F43</f>
        <v>3</v>
      </c>
      <c r="G30" s="54">
        <f t="shared" si="6"/>
        <v>0.16666666666666666</v>
      </c>
      <c r="H30" s="34"/>
      <c r="I30" s="95" t="s">
        <v>244</v>
      </c>
      <c r="J30" s="96"/>
      <c r="K30" s="97"/>
      <c r="L30" s="34"/>
      <c r="M30" s="47"/>
      <c r="N30" s="45">
        <f>SUM(N19:N26)</f>
        <v>18</v>
      </c>
      <c r="O30" s="66">
        <f>SUM(O19:O26)</f>
        <v>1</v>
      </c>
      <c r="T30" s="34"/>
      <c r="U30" s="34"/>
    </row>
    <row r="31" spans="1:22" x14ac:dyDescent="0.2">
      <c r="A31" s="38" t="s">
        <v>58</v>
      </c>
      <c r="B31" s="40">
        <f>Fiche_EPCI!J7</f>
        <v>0</v>
      </c>
      <c r="C31" s="68">
        <f t="shared" ref="C31:C39" si="7">B31/$B$41</f>
        <v>0</v>
      </c>
      <c r="D31" s="50"/>
      <c r="E31" s="38" t="s">
        <v>297</v>
      </c>
      <c r="F31" s="40">
        <f>Fiche_EPCI!F44+Fiche_EPCI!F45+Fiche_EPCI!F46+Fiche_EPCI!F47</f>
        <v>4</v>
      </c>
      <c r="G31" s="54">
        <f t="shared" si="6"/>
        <v>0.22222222222222221</v>
      </c>
      <c r="H31" s="34"/>
      <c r="I31" s="35"/>
      <c r="J31" s="36"/>
      <c r="K31" s="37"/>
      <c r="L31" s="34"/>
      <c r="T31" s="34"/>
      <c r="U31" s="34"/>
    </row>
    <row r="32" spans="1:22" ht="15.6" customHeight="1" x14ac:dyDescent="0.25">
      <c r="A32" s="38" t="s">
        <v>206</v>
      </c>
      <c r="B32" s="40">
        <f>Fiche_EPCI!J8</f>
        <v>0</v>
      </c>
      <c r="C32" s="68">
        <f t="shared" si="7"/>
        <v>0</v>
      </c>
      <c r="D32" s="50"/>
      <c r="E32" s="38" t="s">
        <v>214</v>
      </c>
      <c r="F32" s="40">
        <f>J48</f>
        <v>0</v>
      </c>
      <c r="G32" s="54">
        <f t="shared" si="6"/>
        <v>0</v>
      </c>
      <c r="H32" s="34"/>
      <c r="I32" s="35" t="s">
        <v>247</v>
      </c>
      <c r="J32" s="87">
        <f>Fiche_EPCI!N48</f>
        <v>15</v>
      </c>
      <c r="K32" s="57">
        <f>J32/$J$37</f>
        <v>0.83333333333333337</v>
      </c>
      <c r="L32" s="34"/>
      <c r="P32" s="34"/>
      <c r="U32" s="34"/>
      <c r="V32" s="34"/>
    </row>
    <row r="33" spans="1:22" ht="18.75" x14ac:dyDescent="0.3">
      <c r="A33" s="38" t="s">
        <v>211</v>
      </c>
      <c r="B33" s="40">
        <f>Fiche_EPCI!J10</f>
        <v>4</v>
      </c>
      <c r="C33" s="68">
        <f t="shared" si="7"/>
        <v>0.22222222222222221</v>
      </c>
      <c r="D33" s="50"/>
      <c r="E33" s="38"/>
      <c r="F33" s="42"/>
      <c r="G33" s="56"/>
      <c r="H33" s="34"/>
      <c r="I33" s="35" t="s">
        <v>249</v>
      </c>
      <c r="J33" s="87">
        <f>Fiche_EPCI!N49</f>
        <v>1</v>
      </c>
      <c r="K33" s="57">
        <f>J33/$J$37</f>
        <v>5.5555555555555552E-2</v>
      </c>
      <c r="L33" s="34"/>
      <c r="M33" s="95" t="s">
        <v>298</v>
      </c>
      <c r="N33" s="100"/>
      <c r="O33" s="101"/>
      <c r="P33" s="34"/>
      <c r="U33" s="34"/>
      <c r="V33" s="34"/>
    </row>
    <row r="34" spans="1:22" ht="16.7" customHeight="1" x14ac:dyDescent="0.25">
      <c r="A34" s="38" t="s">
        <v>213</v>
      </c>
      <c r="B34" s="40">
        <f>Fiche_EPCI!J11</f>
        <v>5</v>
      </c>
      <c r="C34" s="68">
        <f t="shared" si="7"/>
        <v>0.27777777777777779</v>
      </c>
      <c r="D34" s="50"/>
      <c r="E34" s="51" t="s">
        <v>256</v>
      </c>
      <c r="F34" s="88">
        <f>Fiche_EPCI!F49</f>
        <v>3.3333333333333335</v>
      </c>
      <c r="G34" s="56"/>
      <c r="H34" s="34"/>
      <c r="I34" s="35" t="s">
        <v>251</v>
      </c>
      <c r="J34" s="87">
        <f>Fiche_EPCI!N50</f>
        <v>0</v>
      </c>
      <c r="K34" s="57">
        <f>J34/$J$37</f>
        <v>0</v>
      </c>
      <c r="L34" s="34"/>
      <c r="M34" s="35"/>
      <c r="N34" s="36"/>
      <c r="O34" s="37"/>
      <c r="P34" s="34"/>
      <c r="U34" s="34"/>
      <c r="V34" s="34"/>
    </row>
    <row r="35" spans="1:22" ht="15" x14ac:dyDescent="0.25">
      <c r="A35" s="38" t="s">
        <v>66</v>
      </c>
      <c r="B35" s="40">
        <f>Fiche_EPCI!J12</f>
        <v>0</v>
      </c>
      <c r="C35" s="68">
        <f t="shared" si="7"/>
        <v>0</v>
      </c>
      <c r="D35" s="50"/>
      <c r="E35" s="38"/>
      <c r="F35" s="42"/>
      <c r="G35" s="69"/>
      <c r="H35" s="34"/>
      <c r="I35" s="35" t="s">
        <v>253</v>
      </c>
      <c r="J35" s="87">
        <f>Fiche_EPCI!N51</f>
        <v>0</v>
      </c>
      <c r="K35" s="57">
        <f>J35/$J$37</f>
        <v>0</v>
      </c>
      <c r="L35" s="34"/>
      <c r="M35" s="38" t="s">
        <v>299</v>
      </c>
      <c r="N35" s="40">
        <f>Fiche_EPCI!R23</f>
        <v>0</v>
      </c>
      <c r="O35" s="54">
        <f>N35/$N$41</f>
        <v>0</v>
      </c>
    </row>
    <row r="36" spans="1:22" ht="15" x14ac:dyDescent="0.25">
      <c r="A36" s="38" t="s">
        <v>67</v>
      </c>
      <c r="B36" s="40">
        <f>Fiche_EPCI!J13</f>
        <v>0</v>
      </c>
      <c r="C36" s="68">
        <f t="shared" si="7"/>
        <v>0</v>
      </c>
      <c r="D36" s="50"/>
      <c r="E36" s="47"/>
      <c r="F36" s="45">
        <f>SUM(F27:F32)</f>
        <v>18</v>
      </c>
      <c r="G36" s="48">
        <f>SUM(G27:G32)</f>
        <v>1</v>
      </c>
      <c r="H36" s="34"/>
      <c r="I36" s="35" t="s">
        <v>214</v>
      </c>
      <c r="J36" s="87">
        <f>Fiche_EPCI!N52</f>
        <v>2</v>
      </c>
      <c r="K36" s="57">
        <f>J36/$J$37</f>
        <v>0.1111111111111111</v>
      </c>
      <c r="L36" s="34"/>
      <c r="M36" s="38" t="s">
        <v>151</v>
      </c>
      <c r="N36" s="40">
        <f>Fiche_EPCI!R24</f>
        <v>1</v>
      </c>
      <c r="O36" s="54">
        <f>N36/$N$41</f>
        <v>5.5555555555555552E-2</v>
      </c>
    </row>
    <row r="37" spans="1:22" ht="15" x14ac:dyDescent="0.25">
      <c r="A37" s="38" t="s">
        <v>69</v>
      </c>
      <c r="B37" s="40">
        <f>Fiche_EPCI!J14</f>
        <v>0</v>
      </c>
      <c r="C37" s="68">
        <f t="shared" si="7"/>
        <v>0</v>
      </c>
      <c r="D37" s="50"/>
      <c r="E37" s="34"/>
      <c r="F37" s="34"/>
      <c r="G37" s="34"/>
      <c r="H37" s="34"/>
      <c r="I37" s="59"/>
      <c r="J37" s="60">
        <f>SUM(J32:J36)</f>
        <v>18</v>
      </c>
      <c r="K37" s="61">
        <f>SUM(K32:K36)</f>
        <v>1</v>
      </c>
      <c r="L37" s="34"/>
      <c r="M37" s="38" t="s">
        <v>152</v>
      </c>
      <c r="N37" s="40">
        <f>Fiche_EPCI!R25</f>
        <v>5</v>
      </c>
      <c r="O37" s="54">
        <f>N37/$N$41</f>
        <v>0.27777777777777779</v>
      </c>
    </row>
    <row r="38" spans="1:22" ht="18.75" x14ac:dyDescent="0.3">
      <c r="A38" s="38" t="s">
        <v>214</v>
      </c>
      <c r="B38" s="40">
        <f>Fiche_EPCI!J15</f>
        <v>0</v>
      </c>
      <c r="C38" s="68">
        <f t="shared" si="7"/>
        <v>0</v>
      </c>
      <c r="D38" s="50"/>
      <c r="E38" s="95" t="s">
        <v>260</v>
      </c>
      <c r="F38" s="96"/>
      <c r="G38" s="97"/>
      <c r="H38" s="34"/>
      <c r="I38" s="34"/>
      <c r="J38" s="34"/>
      <c r="K38" s="34"/>
      <c r="L38" s="34"/>
      <c r="M38" s="38" t="s">
        <v>153</v>
      </c>
      <c r="N38" s="40">
        <f>Fiche_EPCI!R26</f>
        <v>8</v>
      </c>
      <c r="O38" s="54">
        <f>N38/$N$41</f>
        <v>0.44444444444444442</v>
      </c>
    </row>
    <row r="39" spans="1:22" ht="18.75" x14ac:dyDescent="0.3">
      <c r="A39" s="38" t="s">
        <v>61</v>
      </c>
      <c r="B39" s="40">
        <f>Fiche_EPCI!J9</f>
        <v>9</v>
      </c>
      <c r="C39" s="68">
        <f t="shared" si="7"/>
        <v>0.5</v>
      </c>
      <c r="D39" s="50"/>
      <c r="E39" s="49" t="s">
        <v>263</v>
      </c>
      <c r="F39" s="40">
        <f>Fiche_EPCI!R45</f>
        <v>6</v>
      </c>
      <c r="G39" s="39">
        <f t="shared" ref="G39:G47" si="8">F39/F$49</f>
        <v>0.33333333333333331</v>
      </c>
      <c r="H39" s="34"/>
      <c r="I39" s="95" t="s">
        <v>259</v>
      </c>
      <c r="J39" s="96"/>
      <c r="K39" s="97"/>
      <c r="L39" s="34"/>
      <c r="M39" s="38" t="s">
        <v>300</v>
      </c>
      <c r="N39" s="40">
        <f>Fiche_EPCI!R27+Fiche_EPCI!R28</f>
        <v>4</v>
      </c>
      <c r="O39" s="54">
        <f>N39/$N$41</f>
        <v>0.22222222222222221</v>
      </c>
    </row>
    <row r="40" spans="1:22" x14ac:dyDescent="0.2">
      <c r="A40" s="38"/>
      <c r="B40" s="42"/>
      <c r="C40" s="43"/>
      <c r="D40" s="50"/>
      <c r="E40" s="49" t="s">
        <v>301</v>
      </c>
      <c r="F40" s="40">
        <f>Fiche_EPCI!R46</f>
        <v>4</v>
      </c>
      <c r="G40" s="39">
        <f t="shared" si="8"/>
        <v>0.22222222222222221</v>
      </c>
      <c r="H40" s="34"/>
      <c r="I40" s="49" t="s">
        <v>142</v>
      </c>
      <c r="J40" s="40">
        <f>Fiche_EPCI!R33</f>
        <v>7</v>
      </c>
      <c r="K40" s="39">
        <f t="shared" ref="K40:K47" si="9">J40/$J$49</f>
        <v>0.3888888888888889</v>
      </c>
      <c r="L40" s="34"/>
      <c r="M40" s="38"/>
      <c r="N40" s="42"/>
      <c r="O40" s="56"/>
    </row>
    <row r="41" spans="1:22" x14ac:dyDescent="0.2">
      <c r="A41" s="44"/>
      <c r="B41" s="45">
        <f>SUM(B31:B39)</f>
        <v>18</v>
      </c>
      <c r="C41" s="46">
        <f>SUM(C31:C39)</f>
        <v>1</v>
      </c>
      <c r="D41" s="50"/>
      <c r="E41" s="49" t="s">
        <v>302</v>
      </c>
      <c r="F41" s="40">
        <f>Fiche_EPCI!R47</f>
        <v>1</v>
      </c>
      <c r="G41" s="39">
        <f t="shared" si="8"/>
        <v>5.5555555555555552E-2</v>
      </c>
      <c r="H41" s="34"/>
      <c r="I41" s="49" t="s">
        <v>261</v>
      </c>
      <c r="J41" s="40">
        <f>Fiche_EPCI!R34</f>
        <v>0</v>
      </c>
      <c r="K41" s="39">
        <f t="shared" si="9"/>
        <v>0</v>
      </c>
      <c r="L41" s="34"/>
      <c r="M41" s="47"/>
      <c r="N41" s="45">
        <f>SUM(N35:N39)</f>
        <v>18</v>
      </c>
      <c r="O41" s="48">
        <f>SUM(O35:O39)</f>
        <v>1</v>
      </c>
    </row>
    <row r="42" spans="1:22" ht="15" x14ac:dyDescent="0.25">
      <c r="A42" s="36"/>
      <c r="B42" s="91"/>
      <c r="C42" s="92"/>
      <c r="D42" s="50"/>
      <c r="E42" s="49" t="s">
        <v>264</v>
      </c>
      <c r="F42" s="40">
        <f>Fiche_EPCI!R48</f>
        <v>0</v>
      </c>
      <c r="G42" s="39">
        <f t="shared" si="8"/>
        <v>0</v>
      </c>
      <c r="H42" s="34"/>
      <c r="I42" s="49" t="s">
        <v>144</v>
      </c>
      <c r="J42" s="40">
        <f>Fiche_EPCI!R35</f>
        <v>8</v>
      </c>
      <c r="K42" s="39">
        <f t="shared" si="9"/>
        <v>0.44444444444444442</v>
      </c>
      <c r="L42" s="34"/>
      <c r="M42" s="34"/>
      <c r="N42" s="34"/>
      <c r="O42" s="34"/>
    </row>
    <row r="43" spans="1:22" ht="15" x14ac:dyDescent="0.25">
      <c r="A43" s="36"/>
      <c r="B43" s="91"/>
      <c r="C43" s="92"/>
      <c r="D43" s="50"/>
      <c r="E43" s="49" t="s">
        <v>265</v>
      </c>
      <c r="F43" s="40">
        <f>Fiche_EPCI!R49</f>
        <v>0</v>
      </c>
      <c r="G43" s="39">
        <f t="shared" si="8"/>
        <v>0</v>
      </c>
      <c r="H43" s="34"/>
      <c r="I43" s="49" t="s">
        <v>145</v>
      </c>
      <c r="J43" s="40">
        <f>Fiche_EPCI!R36</f>
        <v>0</v>
      </c>
      <c r="K43" s="39">
        <f t="shared" si="9"/>
        <v>0</v>
      </c>
      <c r="L43" s="34"/>
      <c r="M43" s="34"/>
      <c r="N43" s="34"/>
      <c r="O43" s="34"/>
    </row>
    <row r="44" spans="1:22" ht="15" x14ac:dyDescent="0.25">
      <c r="A44" s="33"/>
      <c r="B44" s="93"/>
      <c r="C44" s="94"/>
      <c r="D44" s="50"/>
      <c r="E44" s="49" t="s">
        <v>266</v>
      </c>
      <c r="F44" s="40">
        <f>Fiche_EPCI!R50</f>
        <v>0</v>
      </c>
      <c r="G44" s="39">
        <f t="shared" si="8"/>
        <v>0</v>
      </c>
      <c r="H44" s="34"/>
      <c r="I44" s="49" t="s">
        <v>262</v>
      </c>
      <c r="J44" s="40">
        <f>Fiche_EPCI!R37</f>
        <v>1</v>
      </c>
      <c r="K44" s="39">
        <f t="shared" si="9"/>
        <v>5.5555555555555552E-2</v>
      </c>
      <c r="L44" s="34"/>
    </row>
    <row r="45" spans="1:22" ht="15" x14ac:dyDescent="0.25">
      <c r="A45" s="33"/>
      <c r="B45" s="93"/>
      <c r="C45" s="94"/>
      <c r="D45" s="50"/>
      <c r="E45" s="49" t="s">
        <v>1</v>
      </c>
      <c r="F45" s="40">
        <f>Fiche_EPCI!R51</f>
        <v>0</v>
      </c>
      <c r="G45" s="39">
        <f t="shared" si="8"/>
        <v>0</v>
      </c>
      <c r="H45" s="34"/>
      <c r="I45" s="49" t="s">
        <v>147</v>
      </c>
      <c r="J45" s="40">
        <f>Fiche_EPCI!R38</f>
        <v>0</v>
      </c>
      <c r="K45" s="39">
        <f t="shared" si="9"/>
        <v>0</v>
      </c>
      <c r="L45" s="34"/>
    </row>
    <row r="46" spans="1:22" ht="15" x14ac:dyDescent="0.25">
      <c r="A46" s="33"/>
      <c r="B46" s="93"/>
      <c r="C46" s="94"/>
      <c r="D46" s="50"/>
      <c r="E46" s="49" t="s">
        <v>148</v>
      </c>
      <c r="F46" s="40">
        <f>Fiche_EPCI!R52</f>
        <v>0</v>
      </c>
      <c r="G46" s="39">
        <f t="shared" si="8"/>
        <v>0</v>
      </c>
      <c r="H46" s="34"/>
      <c r="I46" s="49" t="s">
        <v>148</v>
      </c>
      <c r="J46" s="40">
        <f>Fiche_EPCI!R39</f>
        <v>2</v>
      </c>
      <c r="K46" s="39">
        <f t="shared" si="9"/>
        <v>0.1111111111111111</v>
      </c>
      <c r="L46" s="34"/>
    </row>
    <row r="47" spans="1:22" ht="15" x14ac:dyDescent="0.25">
      <c r="A47" s="33"/>
      <c r="B47" s="93"/>
      <c r="C47" s="94"/>
      <c r="D47" s="50"/>
      <c r="E47" s="49" t="s">
        <v>167</v>
      </c>
      <c r="F47" s="40">
        <f>Fiche_EPCI!R53</f>
        <v>7</v>
      </c>
      <c r="G47" s="39">
        <f t="shared" si="8"/>
        <v>0.3888888888888889</v>
      </c>
      <c r="H47" s="34"/>
      <c r="I47" s="49" t="s">
        <v>55</v>
      </c>
      <c r="J47" s="40">
        <f>Fiche_EPCI!R40</f>
        <v>0</v>
      </c>
      <c r="K47" s="39">
        <f t="shared" si="9"/>
        <v>0</v>
      </c>
      <c r="L47" s="34"/>
    </row>
    <row r="48" spans="1:22" ht="15" x14ac:dyDescent="0.25">
      <c r="A48" s="33"/>
      <c r="B48" s="93"/>
      <c r="C48" s="94"/>
      <c r="D48" s="50"/>
      <c r="E48" s="38"/>
      <c r="F48" s="42"/>
      <c r="G48" s="43"/>
      <c r="H48" s="34"/>
      <c r="I48" s="38"/>
      <c r="J48" s="42"/>
      <c r="K48" s="43"/>
      <c r="L48" s="34"/>
    </row>
    <row r="49" spans="1:12" ht="15" x14ac:dyDescent="0.25">
      <c r="A49" s="33"/>
      <c r="B49" s="93"/>
      <c r="C49" s="94"/>
      <c r="D49" s="50"/>
      <c r="E49" s="47"/>
      <c r="F49" s="45">
        <f>SUM(F39:F47)</f>
        <v>18</v>
      </c>
      <c r="G49" s="46">
        <f>SUM(G39:G47)</f>
        <v>1</v>
      </c>
      <c r="H49" s="34"/>
      <c r="I49" s="47"/>
      <c r="J49" s="45">
        <f>SUM(J40:J47)</f>
        <v>18</v>
      </c>
      <c r="K49" s="46">
        <f>SUM(K40:K47)</f>
        <v>1</v>
      </c>
      <c r="L49" s="34"/>
    </row>
    <row r="50" spans="1:12" ht="15" x14ac:dyDescent="0.25">
      <c r="A50" s="33"/>
      <c r="B50" s="93"/>
      <c r="C50" s="94"/>
      <c r="D50" s="50"/>
      <c r="H50" s="34"/>
      <c r="I50" s="84"/>
      <c r="J50" s="89"/>
      <c r="K50" s="90"/>
      <c r="L50" s="34"/>
    </row>
    <row r="51" spans="1:12" ht="15" x14ac:dyDescent="0.25">
      <c r="A51" s="33"/>
      <c r="B51" s="93"/>
      <c r="C51" s="94"/>
      <c r="D51" s="50"/>
      <c r="H51" s="34"/>
      <c r="I51" s="84"/>
      <c r="J51" s="89"/>
      <c r="K51" s="90"/>
      <c r="L51" s="34"/>
    </row>
    <row r="52" spans="1:12" ht="15" x14ac:dyDescent="0.25">
      <c r="A52" s="33"/>
      <c r="B52" s="93"/>
      <c r="C52" s="94"/>
      <c r="D52" s="50"/>
      <c r="H52" s="34"/>
      <c r="I52" s="84"/>
      <c r="J52" s="89"/>
      <c r="K52" s="90"/>
      <c r="L52" s="34"/>
    </row>
  </sheetData>
  <sheetProtection sheet="1" objects="1" scenarios="1"/>
  <mergeCells count="16">
    <mergeCell ref="A29:C29"/>
    <mergeCell ref="I30:K30"/>
    <mergeCell ref="M33:O33"/>
    <mergeCell ref="E38:G38"/>
    <mergeCell ref="I39:K39"/>
    <mergeCell ref="E12:G12"/>
    <mergeCell ref="I17:K17"/>
    <mergeCell ref="M17:O17"/>
    <mergeCell ref="A18:C18"/>
    <mergeCell ref="E25:G25"/>
    <mergeCell ref="A1:O1"/>
    <mergeCell ref="A2:O2"/>
    <mergeCell ref="A3:C3"/>
    <mergeCell ref="E3:G3"/>
    <mergeCell ref="I3:K3"/>
    <mergeCell ref="M3:O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A2" sqref="A2:O2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3" width="10" customWidth="1"/>
    <col min="4" max="12" width="15.42578125" customWidth="1"/>
  </cols>
  <sheetData>
    <row r="1" spans="1:12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142</v>
      </c>
      <c r="E1" s="2" t="s">
        <v>143</v>
      </c>
      <c r="F1" s="2" t="s">
        <v>144</v>
      </c>
      <c r="G1" s="2" t="s">
        <v>145</v>
      </c>
      <c r="H1" s="2" t="s">
        <v>146</v>
      </c>
      <c r="I1" s="2" t="s">
        <v>147</v>
      </c>
      <c r="J1" s="2" t="s">
        <v>148</v>
      </c>
      <c r="K1" s="2" t="s">
        <v>55</v>
      </c>
      <c r="L1" s="2" t="s">
        <v>149</v>
      </c>
    </row>
    <row r="2" spans="1:12" s="1" customFormat="1" ht="14.1" customHeight="1" x14ac:dyDescent="0.2">
      <c r="A2" s="14" t="s">
        <v>198</v>
      </c>
      <c r="B2" s="18" t="s">
        <v>197</v>
      </c>
      <c r="C2" s="21">
        <v>893</v>
      </c>
      <c r="D2" s="21">
        <v>347</v>
      </c>
      <c r="E2" s="21">
        <v>2</v>
      </c>
      <c r="F2" s="21">
        <v>173</v>
      </c>
      <c r="G2" s="21">
        <v>103</v>
      </c>
      <c r="H2" s="21">
        <v>18</v>
      </c>
      <c r="I2" s="21">
        <v>136</v>
      </c>
      <c r="J2" s="21">
        <v>109</v>
      </c>
      <c r="K2" s="21">
        <v>5</v>
      </c>
      <c r="L2" s="21"/>
    </row>
    <row r="3" spans="1:12" s="1" customFormat="1" ht="14.1" customHeight="1" x14ac:dyDescent="0.2">
      <c r="A3" s="9" t="s">
        <v>188</v>
      </c>
      <c r="B3" s="8" t="s">
        <v>187</v>
      </c>
      <c r="C3" s="4">
        <v>141</v>
      </c>
      <c r="D3" s="4">
        <v>77</v>
      </c>
      <c r="E3" s="4"/>
      <c r="F3" s="4">
        <v>10</v>
      </c>
      <c r="G3" s="4">
        <v>11</v>
      </c>
      <c r="H3" s="4">
        <v>1</v>
      </c>
      <c r="I3" s="4">
        <v>14</v>
      </c>
      <c r="J3" s="4">
        <v>11</v>
      </c>
      <c r="K3" s="4">
        <v>17</v>
      </c>
      <c r="L3" s="4"/>
    </row>
    <row r="4" spans="1:12" s="1" customFormat="1" ht="14.1" customHeight="1" x14ac:dyDescent="0.2">
      <c r="A4" s="12" t="s">
        <v>200</v>
      </c>
      <c r="B4" s="17" t="s">
        <v>199</v>
      </c>
      <c r="C4" s="20">
        <v>432</v>
      </c>
      <c r="D4" s="20">
        <v>181</v>
      </c>
      <c r="E4" s="20"/>
      <c r="F4" s="20">
        <v>63</v>
      </c>
      <c r="G4" s="20">
        <v>70</v>
      </c>
      <c r="H4" s="20">
        <v>11</v>
      </c>
      <c r="I4" s="20">
        <v>45</v>
      </c>
      <c r="J4" s="20">
        <v>59</v>
      </c>
      <c r="K4" s="20">
        <v>3</v>
      </c>
      <c r="L4" s="20"/>
    </row>
    <row r="5" spans="1:12" s="1" customFormat="1" ht="18.2" customHeight="1" x14ac:dyDescent="0.2">
      <c r="A5" s="12" t="s">
        <v>178</v>
      </c>
      <c r="B5" s="8" t="s">
        <v>177</v>
      </c>
      <c r="C5" s="25">
        <v>405</v>
      </c>
      <c r="D5" s="25">
        <v>219</v>
      </c>
      <c r="E5" s="25"/>
      <c r="F5" s="20">
        <v>56</v>
      </c>
      <c r="G5" s="20">
        <v>46</v>
      </c>
      <c r="H5" s="20">
        <v>5</v>
      </c>
      <c r="I5" s="20">
        <v>33</v>
      </c>
      <c r="J5" s="20">
        <v>41</v>
      </c>
      <c r="K5" s="20">
        <v>5</v>
      </c>
      <c r="L5" s="20"/>
    </row>
    <row r="6" spans="1:12" s="1" customFormat="1" ht="14.1" customHeight="1" x14ac:dyDescent="0.2">
      <c r="A6" s="9" t="s">
        <v>196</v>
      </c>
      <c r="B6" s="8" t="s">
        <v>195</v>
      </c>
      <c r="C6" s="4">
        <v>10</v>
      </c>
      <c r="D6" s="4">
        <v>2</v>
      </c>
      <c r="E6" s="4"/>
      <c r="F6" s="4">
        <v>4</v>
      </c>
      <c r="G6" s="4">
        <v>2</v>
      </c>
      <c r="H6" s="4">
        <v>1</v>
      </c>
      <c r="I6" s="4"/>
      <c r="J6" s="4">
        <v>1</v>
      </c>
      <c r="K6" s="4"/>
      <c r="L6" s="4"/>
    </row>
    <row r="7" spans="1:12" s="1" customFormat="1" ht="14.1" customHeight="1" x14ac:dyDescent="0.2">
      <c r="A7" s="12" t="s">
        <v>180</v>
      </c>
      <c r="B7" s="17" t="s">
        <v>179</v>
      </c>
      <c r="C7" s="20">
        <v>10</v>
      </c>
      <c r="D7" s="20">
        <v>7</v>
      </c>
      <c r="E7" s="20"/>
      <c r="F7" s="20">
        <v>1</v>
      </c>
      <c r="G7" s="20">
        <v>1</v>
      </c>
      <c r="H7" s="20"/>
      <c r="I7" s="20"/>
      <c r="J7" s="20">
        <v>1</v>
      </c>
      <c r="K7" s="20"/>
      <c r="L7" s="20"/>
    </row>
    <row r="8" spans="1:12" s="1" customFormat="1" ht="18.2" customHeight="1" x14ac:dyDescent="0.2">
      <c r="A8" s="12" t="s">
        <v>186</v>
      </c>
      <c r="B8" s="8" t="s">
        <v>185</v>
      </c>
      <c r="C8" s="25">
        <v>117</v>
      </c>
      <c r="D8" s="25">
        <v>57</v>
      </c>
      <c r="E8" s="25"/>
      <c r="F8" s="20">
        <v>19</v>
      </c>
      <c r="G8" s="20">
        <v>11</v>
      </c>
      <c r="H8" s="20">
        <v>2</v>
      </c>
      <c r="I8" s="20">
        <v>8</v>
      </c>
      <c r="J8" s="20">
        <v>20</v>
      </c>
      <c r="K8" s="20"/>
      <c r="L8" s="20"/>
    </row>
    <row r="9" spans="1:12" s="1" customFormat="1" ht="22.7" customHeight="1" x14ac:dyDescent="0.2">
      <c r="A9" s="10" t="s">
        <v>170</v>
      </c>
      <c r="B9" s="15" t="s">
        <v>169</v>
      </c>
      <c r="C9" s="4">
        <v>76</v>
      </c>
      <c r="D9" s="4">
        <v>47</v>
      </c>
      <c r="E9" s="4"/>
      <c r="F9" s="4">
        <v>6</v>
      </c>
      <c r="G9" s="4">
        <v>7</v>
      </c>
      <c r="H9" s="4"/>
      <c r="I9" s="4">
        <v>10</v>
      </c>
      <c r="J9" s="4">
        <v>6</v>
      </c>
      <c r="K9" s="4"/>
      <c r="L9" s="4"/>
    </row>
    <row r="10" spans="1:12" s="1" customFormat="1" ht="14.1" customHeight="1" x14ac:dyDescent="0.2">
      <c r="A10" s="11" t="s">
        <v>176</v>
      </c>
      <c r="B10" s="16" t="s">
        <v>175</v>
      </c>
      <c r="C10" s="19">
        <v>34</v>
      </c>
      <c r="D10" s="19">
        <v>5</v>
      </c>
      <c r="E10" s="19"/>
      <c r="F10" s="19">
        <v>8</v>
      </c>
      <c r="G10" s="19">
        <v>4</v>
      </c>
      <c r="H10" s="19"/>
      <c r="I10" s="19">
        <v>6</v>
      </c>
      <c r="J10" s="19">
        <v>10</v>
      </c>
      <c r="K10" s="19">
        <v>1</v>
      </c>
      <c r="L10" s="19"/>
    </row>
    <row r="11" spans="1:12" s="1" customFormat="1" ht="14.1" customHeight="1" x14ac:dyDescent="0.2">
      <c r="A11" s="11" t="s">
        <v>192</v>
      </c>
      <c r="B11" s="16" t="s">
        <v>191</v>
      </c>
      <c r="C11" s="19">
        <v>202</v>
      </c>
      <c r="D11" s="19">
        <v>109</v>
      </c>
      <c r="E11" s="19">
        <v>2</v>
      </c>
      <c r="F11" s="19">
        <v>17</v>
      </c>
      <c r="G11" s="19">
        <v>16</v>
      </c>
      <c r="H11" s="19">
        <v>3</v>
      </c>
      <c r="I11" s="19">
        <v>18</v>
      </c>
      <c r="J11" s="19">
        <v>35</v>
      </c>
      <c r="K11" s="19">
        <v>2</v>
      </c>
      <c r="L11" s="19"/>
    </row>
    <row r="12" spans="1:12" s="1" customFormat="1" ht="14.1" customHeight="1" x14ac:dyDescent="0.2">
      <c r="A12" s="11" t="s">
        <v>172</v>
      </c>
      <c r="B12" s="16" t="s">
        <v>171</v>
      </c>
      <c r="C12" s="19">
        <v>56</v>
      </c>
      <c r="D12" s="19">
        <v>25</v>
      </c>
      <c r="E12" s="19"/>
      <c r="F12" s="19">
        <v>12</v>
      </c>
      <c r="G12" s="19">
        <v>9</v>
      </c>
      <c r="H12" s="19">
        <v>1</v>
      </c>
      <c r="I12" s="19">
        <v>3</v>
      </c>
      <c r="J12" s="19">
        <v>5</v>
      </c>
      <c r="K12" s="19">
        <v>1</v>
      </c>
      <c r="L12" s="19"/>
    </row>
    <row r="13" spans="1:12" s="1" customFormat="1" ht="14.1" customHeight="1" x14ac:dyDescent="0.2">
      <c r="A13" s="11" t="s">
        <v>190</v>
      </c>
      <c r="B13" s="16" t="s">
        <v>189</v>
      </c>
      <c r="C13" s="19">
        <v>103</v>
      </c>
      <c r="D13" s="19">
        <v>45</v>
      </c>
      <c r="E13" s="19"/>
      <c r="F13" s="19">
        <v>14</v>
      </c>
      <c r="G13" s="19">
        <v>16</v>
      </c>
      <c r="H13" s="19">
        <v>1</v>
      </c>
      <c r="I13" s="19">
        <v>7</v>
      </c>
      <c r="J13" s="19">
        <v>19</v>
      </c>
      <c r="K13" s="19">
        <v>1</v>
      </c>
      <c r="L13" s="19"/>
    </row>
    <row r="14" spans="1:12" s="1" customFormat="1" ht="14.1" customHeight="1" x14ac:dyDescent="0.2">
      <c r="A14" s="11" t="s">
        <v>182</v>
      </c>
      <c r="B14" s="16" t="s">
        <v>181</v>
      </c>
      <c r="C14" s="19">
        <v>26</v>
      </c>
      <c r="D14" s="19">
        <v>13</v>
      </c>
      <c r="E14" s="19"/>
      <c r="F14" s="19">
        <v>3</v>
      </c>
      <c r="G14" s="19">
        <v>4</v>
      </c>
      <c r="H14" s="19">
        <v>1</v>
      </c>
      <c r="I14" s="19">
        <v>5</v>
      </c>
      <c r="J14" s="19"/>
      <c r="K14" s="19"/>
      <c r="L14" s="19"/>
    </row>
    <row r="15" spans="1:12" s="1" customFormat="1" ht="14.1" customHeight="1" x14ac:dyDescent="0.2">
      <c r="A15" s="13">
        <v>200017341</v>
      </c>
      <c r="B15" s="16" t="s">
        <v>168</v>
      </c>
      <c r="C15" s="19">
        <v>18</v>
      </c>
      <c r="D15" s="19">
        <v>7</v>
      </c>
      <c r="E15" s="19"/>
      <c r="F15" s="19">
        <v>8</v>
      </c>
      <c r="G15" s="19"/>
      <c r="H15" s="19">
        <v>1</v>
      </c>
      <c r="I15" s="19"/>
      <c r="J15" s="19">
        <v>2</v>
      </c>
      <c r="K15" s="19"/>
      <c r="L15" s="19"/>
    </row>
    <row r="16" spans="1:12" s="1" customFormat="1" ht="14.1" customHeight="1" x14ac:dyDescent="0.2">
      <c r="A16" s="14" t="s">
        <v>174</v>
      </c>
      <c r="B16" s="18" t="s">
        <v>173</v>
      </c>
      <c r="C16" s="21">
        <v>18</v>
      </c>
      <c r="D16" s="21">
        <v>10</v>
      </c>
      <c r="E16" s="21"/>
      <c r="F16" s="21">
        <v>3</v>
      </c>
      <c r="G16" s="21">
        <v>3</v>
      </c>
      <c r="H16" s="21"/>
      <c r="I16" s="21">
        <v>2</v>
      </c>
      <c r="J16" s="21"/>
      <c r="K16" s="21"/>
      <c r="L16" s="21"/>
    </row>
    <row r="17" spans="1:12" s="1" customFormat="1" ht="14.1" customHeight="1" x14ac:dyDescent="0.2">
      <c r="A17" s="14" t="s">
        <v>194</v>
      </c>
      <c r="B17" s="18" t="s">
        <v>193</v>
      </c>
      <c r="C17" s="21">
        <v>44</v>
      </c>
      <c r="D17" s="21">
        <v>21</v>
      </c>
      <c r="E17" s="21"/>
      <c r="F17" s="21">
        <v>5</v>
      </c>
      <c r="G17" s="21">
        <v>5</v>
      </c>
      <c r="H17" s="21"/>
      <c r="I17" s="21">
        <v>8</v>
      </c>
      <c r="J17" s="21">
        <v>5</v>
      </c>
      <c r="K17" s="21"/>
      <c r="L17" s="21"/>
    </row>
    <row r="18" spans="1:12" s="1" customFormat="1" ht="18.2" customHeight="1" x14ac:dyDescent="0.2">
      <c r="A18" s="12" t="s">
        <v>184</v>
      </c>
      <c r="B18" s="8" t="s">
        <v>183</v>
      </c>
      <c r="C18" s="25">
        <v>3029</v>
      </c>
      <c r="D18" s="25">
        <v>1810</v>
      </c>
      <c r="E18" s="25">
        <v>10</v>
      </c>
      <c r="F18" s="20">
        <v>347</v>
      </c>
      <c r="G18" s="20">
        <v>107</v>
      </c>
      <c r="H18" s="20">
        <v>24</v>
      </c>
      <c r="I18" s="20">
        <v>231</v>
      </c>
      <c r="J18" s="20">
        <v>490</v>
      </c>
      <c r="K18" s="20">
        <v>10</v>
      </c>
      <c r="L18" s="20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H1" workbookViewId="0">
      <selection activeCell="A2" sqref="A2:O2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3" width="10" customWidth="1"/>
    <col min="4" max="17" width="20.85546875" customWidth="1"/>
  </cols>
  <sheetData>
    <row r="1" spans="1:17" s="1" customFormat="1" ht="33.950000000000003" customHeight="1" x14ac:dyDescent="0.2">
      <c r="A1" s="2" t="s">
        <v>0</v>
      </c>
      <c r="B1" s="3" t="s">
        <v>1</v>
      </c>
      <c r="C1" s="2" t="s">
        <v>2</v>
      </c>
      <c r="D1" s="7" t="s">
        <v>157</v>
      </c>
      <c r="E1" s="7" t="s">
        <v>158</v>
      </c>
      <c r="F1" s="7" t="s">
        <v>159</v>
      </c>
      <c r="G1" s="7" t="s">
        <v>160</v>
      </c>
      <c r="H1" s="7" t="s">
        <v>161</v>
      </c>
      <c r="I1" s="7" t="s">
        <v>162</v>
      </c>
      <c r="J1" s="7" t="s">
        <v>163</v>
      </c>
      <c r="K1" s="7" t="s">
        <v>164</v>
      </c>
      <c r="L1" s="7" t="s">
        <v>165</v>
      </c>
      <c r="M1" s="7" t="s">
        <v>166</v>
      </c>
      <c r="N1" s="7" t="s">
        <v>167</v>
      </c>
      <c r="O1" s="7" t="s">
        <v>11</v>
      </c>
      <c r="P1" s="7" t="s">
        <v>31</v>
      </c>
      <c r="Q1" s="7" t="s">
        <v>27</v>
      </c>
    </row>
    <row r="2" spans="1:17" s="1" customFormat="1" ht="14.1" customHeight="1" x14ac:dyDescent="0.2">
      <c r="A2" s="14" t="s">
        <v>198</v>
      </c>
      <c r="B2" s="18" t="s">
        <v>197</v>
      </c>
      <c r="C2" s="21">
        <v>893</v>
      </c>
      <c r="D2" s="21">
        <v>29</v>
      </c>
      <c r="E2" s="21">
        <v>148</v>
      </c>
      <c r="F2" s="21">
        <v>24</v>
      </c>
      <c r="G2" s="21">
        <v>1</v>
      </c>
      <c r="H2" s="21">
        <v>3</v>
      </c>
      <c r="I2" s="21">
        <v>108</v>
      </c>
      <c r="J2" s="21">
        <v>119</v>
      </c>
      <c r="K2" s="21"/>
      <c r="L2" s="21"/>
      <c r="M2" s="21">
        <v>78</v>
      </c>
      <c r="N2" s="21">
        <v>383</v>
      </c>
      <c r="O2" s="21"/>
      <c r="P2" s="21"/>
      <c r="Q2" s="21"/>
    </row>
    <row r="3" spans="1:17" s="1" customFormat="1" ht="14.1" customHeight="1" x14ac:dyDescent="0.2">
      <c r="A3" s="9" t="s">
        <v>188</v>
      </c>
      <c r="B3" s="8" t="s">
        <v>187</v>
      </c>
      <c r="C3" s="4">
        <v>141</v>
      </c>
      <c r="D3" s="4">
        <v>23</v>
      </c>
      <c r="E3" s="4">
        <v>7</v>
      </c>
      <c r="F3" s="4">
        <v>6</v>
      </c>
      <c r="G3" s="4"/>
      <c r="H3" s="4">
        <v>3</v>
      </c>
      <c r="I3" s="4">
        <v>5</v>
      </c>
      <c r="J3" s="4">
        <v>26</v>
      </c>
      <c r="K3" s="4"/>
      <c r="L3" s="4"/>
      <c r="M3" s="4">
        <v>32</v>
      </c>
      <c r="N3" s="4">
        <v>39</v>
      </c>
      <c r="O3" s="4"/>
      <c r="P3" s="4"/>
      <c r="Q3" s="4"/>
    </row>
    <row r="4" spans="1:17" s="1" customFormat="1" ht="14.1" customHeight="1" x14ac:dyDescent="0.2">
      <c r="A4" s="12" t="s">
        <v>200</v>
      </c>
      <c r="B4" s="17" t="s">
        <v>199</v>
      </c>
      <c r="C4" s="20">
        <v>432</v>
      </c>
      <c r="D4" s="20">
        <v>55</v>
      </c>
      <c r="E4" s="20">
        <v>69</v>
      </c>
      <c r="F4" s="20">
        <v>21</v>
      </c>
      <c r="G4" s="20"/>
      <c r="H4" s="20">
        <v>19</v>
      </c>
      <c r="I4" s="20">
        <v>52</v>
      </c>
      <c r="J4" s="20">
        <v>54</v>
      </c>
      <c r="K4" s="20"/>
      <c r="L4" s="20"/>
      <c r="M4" s="20">
        <v>1</v>
      </c>
      <c r="N4" s="20">
        <v>161</v>
      </c>
      <c r="O4" s="20"/>
      <c r="P4" s="20"/>
      <c r="Q4" s="20"/>
    </row>
    <row r="5" spans="1:17" s="1" customFormat="1" ht="18.2" customHeight="1" x14ac:dyDescent="0.2">
      <c r="A5" s="12" t="s">
        <v>178</v>
      </c>
      <c r="B5" s="8" t="s">
        <v>177</v>
      </c>
      <c r="C5" s="25">
        <v>405</v>
      </c>
      <c r="D5" s="25">
        <v>75</v>
      </c>
      <c r="E5" s="20">
        <v>71</v>
      </c>
      <c r="F5" s="20">
        <v>23</v>
      </c>
      <c r="G5" s="20"/>
      <c r="H5" s="20">
        <v>9</v>
      </c>
      <c r="I5" s="20">
        <v>4</v>
      </c>
      <c r="J5" s="20">
        <v>57</v>
      </c>
      <c r="K5" s="20"/>
      <c r="L5" s="20"/>
      <c r="M5" s="20">
        <v>11</v>
      </c>
      <c r="N5" s="20">
        <v>155</v>
      </c>
      <c r="O5" s="20"/>
      <c r="P5" s="20"/>
      <c r="Q5" s="20"/>
    </row>
    <row r="6" spans="1:17" s="1" customFormat="1" ht="14.1" customHeight="1" x14ac:dyDescent="0.2">
      <c r="A6" s="9" t="s">
        <v>196</v>
      </c>
      <c r="B6" s="8" t="s">
        <v>195</v>
      </c>
      <c r="C6" s="4">
        <v>10</v>
      </c>
      <c r="D6" s="4">
        <v>1</v>
      </c>
      <c r="E6" s="4">
        <v>2</v>
      </c>
      <c r="F6" s="4"/>
      <c r="G6" s="4"/>
      <c r="H6" s="4"/>
      <c r="I6" s="4"/>
      <c r="J6" s="4"/>
      <c r="K6" s="4"/>
      <c r="L6" s="4"/>
      <c r="M6" s="4"/>
      <c r="N6" s="4">
        <v>7</v>
      </c>
      <c r="O6" s="4"/>
      <c r="P6" s="4"/>
      <c r="Q6" s="4"/>
    </row>
    <row r="7" spans="1:17" s="1" customFormat="1" ht="14.1" customHeight="1" x14ac:dyDescent="0.2">
      <c r="A7" s="12" t="s">
        <v>180</v>
      </c>
      <c r="B7" s="17" t="s">
        <v>179</v>
      </c>
      <c r="C7" s="20">
        <v>10</v>
      </c>
      <c r="D7" s="20"/>
      <c r="E7" s="20">
        <v>1</v>
      </c>
      <c r="F7" s="20"/>
      <c r="G7" s="20"/>
      <c r="H7" s="20"/>
      <c r="I7" s="20"/>
      <c r="J7" s="20">
        <v>1</v>
      </c>
      <c r="K7" s="20"/>
      <c r="L7" s="20"/>
      <c r="M7" s="20"/>
      <c r="N7" s="20">
        <v>8</v>
      </c>
      <c r="O7" s="20"/>
      <c r="P7" s="20"/>
      <c r="Q7" s="20"/>
    </row>
    <row r="8" spans="1:17" s="1" customFormat="1" ht="18.2" customHeight="1" x14ac:dyDescent="0.2">
      <c r="A8" s="12" t="s">
        <v>186</v>
      </c>
      <c r="B8" s="8" t="s">
        <v>185</v>
      </c>
      <c r="C8" s="25">
        <v>117</v>
      </c>
      <c r="D8" s="25">
        <v>17</v>
      </c>
      <c r="E8" s="20">
        <v>27</v>
      </c>
      <c r="F8" s="20">
        <v>6</v>
      </c>
      <c r="G8" s="20"/>
      <c r="H8" s="20">
        <v>13</v>
      </c>
      <c r="I8" s="20">
        <v>1</v>
      </c>
      <c r="J8" s="20">
        <v>4</v>
      </c>
      <c r="K8" s="20"/>
      <c r="L8" s="20"/>
      <c r="M8" s="20"/>
      <c r="N8" s="20">
        <v>49</v>
      </c>
      <c r="O8" s="20"/>
      <c r="P8" s="20"/>
      <c r="Q8" s="20"/>
    </row>
    <row r="9" spans="1:17" s="1" customFormat="1" ht="33.950000000000003" customHeight="1" x14ac:dyDescent="0.2">
      <c r="A9" s="10" t="s">
        <v>170</v>
      </c>
      <c r="B9" s="15" t="s">
        <v>169</v>
      </c>
      <c r="C9" s="4">
        <v>76</v>
      </c>
      <c r="D9" s="4">
        <v>10</v>
      </c>
      <c r="E9" s="4">
        <v>12</v>
      </c>
      <c r="F9" s="4">
        <v>2</v>
      </c>
      <c r="G9" s="4"/>
      <c r="H9" s="4">
        <v>6</v>
      </c>
      <c r="I9" s="4">
        <v>5</v>
      </c>
      <c r="J9" s="4">
        <v>7</v>
      </c>
      <c r="K9" s="4"/>
      <c r="L9" s="4"/>
      <c r="M9" s="4"/>
      <c r="N9" s="4">
        <v>34</v>
      </c>
      <c r="O9" s="4"/>
      <c r="P9" s="4"/>
      <c r="Q9" s="4"/>
    </row>
    <row r="10" spans="1:17" s="1" customFormat="1" ht="14.1" customHeight="1" x14ac:dyDescent="0.2">
      <c r="A10" s="11" t="s">
        <v>176</v>
      </c>
      <c r="B10" s="16" t="s">
        <v>175</v>
      </c>
      <c r="C10" s="19">
        <v>34</v>
      </c>
      <c r="D10" s="19"/>
      <c r="E10" s="19">
        <v>10</v>
      </c>
      <c r="F10" s="19">
        <v>2</v>
      </c>
      <c r="G10" s="19"/>
      <c r="H10" s="19"/>
      <c r="I10" s="19"/>
      <c r="J10" s="19"/>
      <c r="K10" s="19"/>
      <c r="L10" s="19"/>
      <c r="M10" s="19"/>
      <c r="N10" s="19">
        <v>22</v>
      </c>
      <c r="O10" s="19"/>
      <c r="P10" s="19"/>
      <c r="Q10" s="19"/>
    </row>
    <row r="11" spans="1:17" s="1" customFormat="1" ht="14.1" customHeight="1" x14ac:dyDescent="0.2">
      <c r="A11" s="11" t="s">
        <v>192</v>
      </c>
      <c r="B11" s="16" t="s">
        <v>191</v>
      </c>
      <c r="C11" s="19">
        <v>202</v>
      </c>
      <c r="D11" s="19">
        <v>26</v>
      </c>
      <c r="E11" s="19">
        <v>29</v>
      </c>
      <c r="F11" s="19">
        <v>7</v>
      </c>
      <c r="G11" s="19"/>
      <c r="H11" s="19">
        <v>16</v>
      </c>
      <c r="I11" s="19">
        <v>1</v>
      </c>
      <c r="J11" s="19">
        <v>25</v>
      </c>
      <c r="K11" s="19"/>
      <c r="L11" s="19"/>
      <c r="M11" s="19">
        <v>14</v>
      </c>
      <c r="N11" s="19">
        <v>84</v>
      </c>
      <c r="O11" s="19"/>
      <c r="P11" s="19"/>
      <c r="Q11" s="19"/>
    </row>
    <row r="12" spans="1:17" s="1" customFormat="1" ht="14.1" customHeight="1" x14ac:dyDescent="0.2">
      <c r="A12" s="11" t="s">
        <v>172</v>
      </c>
      <c r="B12" s="16" t="s">
        <v>171</v>
      </c>
      <c r="C12" s="19">
        <v>56</v>
      </c>
      <c r="D12" s="19">
        <v>3</v>
      </c>
      <c r="E12" s="19">
        <v>16</v>
      </c>
      <c r="F12" s="19">
        <v>3</v>
      </c>
      <c r="G12" s="19"/>
      <c r="H12" s="19"/>
      <c r="I12" s="19"/>
      <c r="J12" s="19">
        <v>1</v>
      </c>
      <c r="K12" s="19"/>
      <c r="L12" s="19"/>
      <c r="M12" s="19"/>
      <c r="N12" s="19">
        <v>33</v>
      </c>
      <c r="O12" s="19"/>
      <c r="P12" s="19"/>
      <c r="Q12" s="19"/>
    </row>
    <row r="13" spans="1:17" s="1" customFormat="1" ht="14.1" customHeight="1" x14ac:dyDescent="0.2">
      <c r="A13" s="11" t="s">
        <v>190</v>
      </c>
      <c r="B13" s="16" t="s">
        <v>189</v>
      </c>
      <c r="C13" s="19">
        <v>103</v>
      </c>
      <c r="D13" s="19">
        <v>6</v>
      </c>
      <c r="E13" s="19">
        <v>26</v>
      </c>
      <c r="F13" s="19">
        <v>3</v>
      </c>
      <c r="G13" s="19"/>
      <c r="H13" s="19">
        <v>3</v>
      </c>
      <c r="I13" s="19">
        <v>4</v>
      </c>
      <c r="J13" s="19">
        <v>13</v>
      </c>
      <c r="K13" s="19"/>
      <c r="L13" s="19"/>
      <c r="M13" s="19"/>
      <c r="N13" s="19">
        <v>48</v>
      </c>
      <c r="O13" s="19"/>
      <c r="P13" s="19"/>
      <c r="Q13" s="19"/>
    </row>
    <row r="14" spans="1:17" s="1" customFormat="1" ht="14.1" customHeight="1" x14ac:dyDescent="0.2">
      <c r="A14" s="11" t="s">
        <v>182</v>
      </c>
      <c r="B14" s="16" t="s">
        <v>181</v>
      </c>
      <c r="C14" s="19">
        <v>26</v>
      </c>
      <c r="D14" s="19">
        <v>2</v>
      </c>
      <c r="E14" s="19">
        <v>5</v>
      </c>
      <c r="F14" s="19"/>
      <c r="G14" s="19"/>
      <c r="H14" s="19">
        <v>1</v>
      </c>
      <c r="I14" s="19"/>
      <c r="J14" s="19"/>
      <c r="K14" s="19"/>
      <c r="L14" s="19"/>
      <c r="M14" s="19"/>
      <c r="N14" s="19">
        <v>18</v>
      </c>
      <c r="O14" s="19"/>
      <c r="P14" s="19"/>
      <c r="Q14" s="19"/>
    </row>
    <row r="15" spans="1:17" s="1" customFormat="1" ht="14.1" customHeight="1" x14ac:dyDescent="0.2">
      <c r="A15" s="13">
        <v>200017341</v>
      </c>
      <c r="B15" s="16" t="s">
        <v>168</v>
      </c>
      <c r="C15" s="19">
        <v>18</v>
      </c>
      <c r="D15" s="19">
        <v>6</v>
      </c>
      <c r="E15" s="19">
        <v>4</v>
      </c>
      <c r="F15" s="19">
        <v>1</v>
      </c>
      <c r="G15" s="19"/>
      <c r="H15" s="19"/>
      <c r="I15" s="19"/>
      <c r="J15" s="19"/>
      <c r="K15" s="19"/>
      <c r="L15" s="19"/>
      <c r="M15" s="19"/>
      <c r="N15" s="19">
        <v>7</v>
      </c>
      <c r="O15" s="19"/>
      <c r="P15" s="19"/>
      <c r="Q15" s="19"/>
    </row>
    <row r="16" spans="1:17" s="1" customFormat="1" ht="14.1" customHeight="1" x14ac:dyDescent="0.2">
      <c r="A16" s="14" t="s">
        <v>174</v>
      </c>
      <c r="B16" s="18" t="s">
        <v>173</v>
      </c>
      <c r="C16" s="21">
        <v>18</v>
      </c>
      <c r="D16" s="21">
        <v>2</v>
      </c>
      <c r="E16" s="21">
        <v>2</v>
      </c>
      <c r="F16" s="21">
        <v>1</v>
      </c>
      <c r="G16" s="21"/>
      <c r="H16" s="21"/>
      <c r="I16" s="21">
        <v>1</v>
      </c>
      <c r="J16" s="21">
        <v>3</v>
      </c>
      <c r="K16" s="21"/>
      <c r="L16" s="21"/>
      <c r="M16" s="21"/>
      <c r="N16" s="21">
        <v>9</v>
      </c>
      <c r="O16" s="21"/>
      <c r="P16" s="21"/>
      <c r="Q16" s="21"/>
    </row>
    <row r="17" spans="1:17" s="1" customFormat="1" ht="14.1" customHeight="1" x14ac:dyDescent="0.2">
      <c r="A17" s="14" t="s">
        <v>194</v>
      </c>
      <c r="B17" s="18" t="s">
        <v>193</v>
      </c>
      <c r="C17" s="21">
        <v>44</v>
      </c>
      <c r="D17" s="21">
        <v>1</v>
      </c>
      <c r="E17" s="21">
        <v>12</v>
      </c>
      <c r="F17" s="21"/>
      <c r="G17" s="21"/>
      <c r="H17" s="21">
        <v>2</v>
      </c>
      <c r="I17" s="21">
        <v>1</v>
      </c>
      <c r="J17" s="21">
        <v>2</v>
      </c>
      <c r="K17" s="21"/>
      <c r="L17" s="21"/>
      <c r="M17" s="21"/>
      <c r="N17" s="21">
        <v>26</v>
      </c>
      <c r="O17" s="21"/>
      <c r="P17" s="21"/>
      <c r="Q17" s="21"/>
    </row>
    <row r="18" spans="1:17" s="1" customFormat="1" ht="18.2" customHeight="1" x14ac:dyDescent="0.2">
      <c r="A18" s="12" t="s">
        <v>184</v>
      </c>
      <c r="B18" s="8" t="s">
        <v>183</v>
      </c>
      <c r="C18" s="25">
        <v>3029</v>
      </c>
      <c r="D18" s="25">
        <v>502</v>
      </c>
      <c r="E18" s="20">
        <v>503</v>
      </c>
      <c r="F18" s="20">
        <v>161</v>
      </c>
      <c r="G18" s="20">
        <v>3</v>
      </c>
      <c r="H18" s="20">
        <v>80</v>
      </c>
      <c r="I18" s="20">
        <v>426</v>
      </c>
      <c r="J18" s="20">
        <v>169</v>
      </c>
      <c r="K18" s="20"/>
      <c r="L18" s="20"/>
      <c r="M18" s="20">
        <v>87</v>
      </c>
      <c r="N18" s="20">
        <v>1098</v>
      </c>
      <c r="O18" s="20"/>
      <c r="P18" s="20"/>
      <c r="Q18" s="20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workbookViewId="0">
      <selection activeCell="A2" sqref="A2:O2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3" width="10" customWidth="1"/>
    <col min="4" max="25" width="20.85546875" customWidth="1"/>
  </cols>
  <sheetData>
    <row r="1" spans="1:25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96</v>
      </c>
      <c r="E1" s="2" t="s">
        <v>97</v>
      </c>
      <c r="F1" s="2" t="s">
        <v>98</v>
      </c>
      <c r="G1" s="2" t="s">
        <v>99</v>
      </c>
      <c r="H1" s="2" t="s">
        <v>100</v>
      </c>
      <c r="I1" s="2" t="s">
        <v>101</v>
      </c>
      <c r="J1" s="2" t="s">
        <v>102</v>
      </c>
      <c r="K1" s="2" t="s">
        <v>11</v>
      </c>
      <c r="L1" s="2" t="s">
        <v>103</v>
      </c>
      <c r="M1" s="2" t="s">
        <v>104</v>
      </c>
      <c r="N1" s="2" t="s">
        <v>105</v>
      </c>
      <c r="O1" s="2" t="s">
        <v>106</v>
      </c>
      <c r="P1" s="2" t="s">
        <v>107</v>
      </c>
      <c r="Q1" s="2" t="s">
        <v>31</v>
      </c>
      <c r="R1" s="2" t="s">
        <v>108</v>
      </c>
      <c r="S1" s="2" t="s">
        <v>109</v>
      </c>
      <c r="T1" s="2" t="s">
        <v>110</v>
      </c>
      <c r="U1" s="2" t="s">
        <v>111</v>
      </c>
      <c r="V1" s="2" t="s">
        <v>112</v>
      </c>
      <c r="W1" s="2" t="s">
        <v>27</v>
      </c>
      <c r="X1" s="2" t="s">
        <v>113</v>
      </c>
      <c r="Y1" s="2" t="s">
        <v>114</v>
      </c>
    </row>
    <row r="2" spans="1:25" s="1" customFormat="1" ht="14.1" customHeight="1" x14ac:dyDescent="0.2">
      <c r="A2" s="14" t="s">
        <v>198</v>
      </c>
      <c r="B2" s="18" t="s">
        <v>197</v>
      </c>
      <c r="C2" s="21">
        <v>893</v>
      </c>
      <c r="D2" s="21">
        <v>2</v>
      </c>
      <c r="E2" s="21">
        <v>1</v>
      </c>
      <c r="F2" s="21">
        <v>142</v>
      </c>
      <c r="G2" s="21">
        <v>56</v>
      </c>
      <c r="H2" s="21"/>
      <c r="I2" s="21">
        <v>2</v>
      </c>
      <c r="J2" s="21">
        <v>2</v>
      </c>
      <c r="K2" s="21"/>
      <c r="L2" s="21">
        <v>180</v>
      </c>
      <c r="M2" s="21">
        <v>436</v>
      </c>
      <c r="N2" s="21"/>
      <c r="O2" s="21">
        <v>7</v>
      </c>
      <c r="P2" s="21">
        <v>9</v>
      </c>
      <c r="Q2" s="21"/>
      <c r="R2" s="21">
        <v>15</v>
      </c>
      <c r="S2" s="21">
        <v>1</v>
      </c>
      <c r="T2" s="21">
        <v>1</v>
      </c>
      <c r="U2" s="21">
        <v>2</v>
      </c>
      <c r="V2" s="21">
        <v>15</v>
      </c>
      <c r="W2" s="21"/>
      <c r="X2" s="21">
        <v>1</v>
      </c>
      <c r="Y2" s="21">
        <v>21</v>
      </c>
    </row>
    <row r="3" spans="1:25" s="1" customFormat="1" ht="14.1" customHeight="1" x14ac:dyDescent="0.2">
      <c r="A3" s="14" t="s">
        <v>188</v>
      </c>
      <c r="B3" s="18" t="s">
        <v>187</v>
      </c>
      <c r="C3" s="21">
        <v>141</v>
      </c>
      <c r="D3" s="21">
        <v>1</v>
      </c>
      <c r="E3" s="21"/>
      <c r="F3" s="21">
        <v>47</v>
      </c>
      <c r="G3" s="21">
        <v>11</v>
      </c>
      <c r="H3" s="21"/>
      <c r="I3" s="21"/>
      <c r="J3" s="21"/>
      <c r="K3" s="21"/>
      <c r="L3" s="21">
        <v>6</v>
      </c>
      <c r="M3" s="21">
        <v>65</v>
      </c>
      <c r="N3" s="21"/>
      <c r="O3" s="21"/>
      <c r="P3" s="21">
        <v>5</v>
      </c>
      <c r="Q3" s="21"/>
      <c r="R3" s="21"/>
      <c r="S3" s="21">
        <v>2</v>
      </c>
      <c r="T3" s="21">
        <v>1</v>
      </c>
      <c r="U3" s="21">
        <v>2</v>
      </c>
      <c r="V3" s="21"/>
      <c r="W3" s="21"/>
      <c r="X3" s="21"/>
      <c r="Y3" s="21">
        <v>1</v>
      </c>
    </row>
    <row r="4" spans="1:25" s="1" customFormat="1" ht="14.1" customHeight="1" x14ac:dyDescent="0.2">
      <c r="A4" s="9" t="s">
        <v>200</v>
      </c>
      <c r="B4" s="8" t="s">
        <v>199</v>
      </c>
      <c r="C4" s="4">
        <v>432</v>
      </c>
      <c r="D4" s="4">
        <v>2</v>
      </c>
      <c r="E4" s="4"/>
      <c r="F4" s="4">
        <v>58</v>
      </c>
      <c r="G4" s="4">
        <v>33</v>
      </c>
      <c r="H4" s="4"/>
      <c r="I4" s="4">
        <v>1</v>
      </c>
      <c r="J4" s="4"/>
      <c r="K4" s="4"/>
      <c r="L4" s="4">
        <v>72</v>
      </c>
      <c r="M4" s="4">
        <v>229</v>
      </c>
      <c r="N4" s="4"/>
      <c r="O4" s="4"/>
      <c r="P4" s="4">
        <v>13</v>
      </c>
      <c r="Q4" s="4"/>
      <c r="R4" s="4">
        <v>9</v>
      </c>
      <c r="S4" s="4"/>
      <c r="T4" s="4"/>
      <c r="U4" s="4"/>
      <c r="V4" s="4">
        <v>5</v>
      </c>
      <c r="W4" s="4"/>
      <c r="X4" s="4">
        <v>1</v>
      </c>
      <c r="Y4" s="4">
        <v>9</v>
      </c>
    </row>
    <row r="5" spans="1:25" s="1" customFormat="1" ht="14.1" customHeight="1" x14ac:dyDescent="0.2">
      <c r="A5" s="12" t="s">
        <v>178</v>
      </c>
      <c r="B5" s="17" t="s">
        <v>177</v>
      </c>
      <c r="C5" s="20">
        <v>405</v>
      </c>
      <c r="D5" s="20">
        <v>2</v>
      </c>
      <c r="E5" s="20"/>
      <c r="F5" s="20">
        <v>61</v>
      </c>
      <c r="G5" s="20">
        <v>12</v>
      </c>
      <c r="H5" s="20"/>
      <c r="I5" s="20"/>
      <c r="J5" s="20">
        <v>1</v>
      </c>
      <c r="K5" s="20"/>
      <c r="L5" s="20">
        <v>106</v>
      </c>
      <c r="M5" s="20">
        <v>174</v>
      </c>
      <c r="N5" s="20"/>
      <c r="O5" s="20"/>
      <c r="P5" s="20">
        <v>23</v>
      </c>
      <c r="Q5" s="20"/>
      <c r="R5" s="20">
        <v>3</v>
      </c>
      <c r="S5" s="20"/>
      <c r="T5" s="20">
        <v>1</v>
      </c>
      <c r="U5" s="20">
        <v>2</v>
      </c>
      <c r="V5" s="20">
        <v>7</v>
      </c>
      <c r="W5" s="20"/>
      <c r="X5" s="20">
        <v>2</v>
      </c>
      <c r="Y5" s="20">
        <v>11</v>
      </c>
    </row>
    <row r="6" spans="1:25" s="1" customFormat="1" ht="18.2" customHeight="1" x14ac:dyDescent="0.2">
      <c r="A6" s="12" t="s">
        <v>196</v>
      </c>
      <c r="B6" s="8" t="s">
        <v>195</v>
      </c>
      <c r="C6" s="25">
        <v>10</v>
      </c>
      <c r="D6" s="25"/>
      <c r="E6" s="25"/>
      <c r="F6" s="20"/>
      <c r="G6" s="20">
        <v>1</v>
      </c>
      <c r="H6" s="20"/>
      <c r="I6" s="20"/>
      <c r="J6" s="20"/>
      <c r="K6" s="20"/>
      <c r="L6" s="20">
        <v>5</v>
      </c>
      <c r="M6" s="20">
        <v>4</v>
      </c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</row>
    <row r="7" spans="1:25" s="1" customFormat="1" ht="22.7" customHeight="1" x14ac:dyDescent="0.2">
      <c r="A7" s="10" t="s">
        <v>180</v>
      </c>
      <c r="B7" s="15" t="s">
        <v>179</v>
      </c>
      <c r="C7" s="4">
        <v>10</v>
      </c>
      <c r="D7" s="4"/>
      <c r="E7" s="4"/>
      <c r="F7" s="4">
        <v>1</v>
      </c>
      <c r="G7" s="4">
        <v>1</v>
      </c>
      <c r="H7" s="4"/>
      <c r="I7" s="4"/>
      <c r="J7" s="4"/>
      <c r="K7" s="4"/>
      <c r="L7" s="4">
        <v>1</v>
      </c>
      <c r="M7" s="4">
        <v>5</v>
      </c>
      <c r="N7" s="4"/>
      <c r="O7" s="4"/>
      <c r="P7" s="4"/>
      <c r="Q7" s="4"/>
      <c r="R7" s="4">
        <v>1</v>
      </c>
      <c r="S7" s="4"/>
      <c r="T7" s="4"/>
      <c r="U7" s="4">
        <v>1</v>
      </c>
      <c r="V7" s="4"/>
      <c r="W7" s="4"/>
      <c r="X7" s="4"/>
      <c r="Y7" s="4"/>
    </row>
    <row r="8" spans="1:25" s="1" customFormat="1" ht="14.1" customHeight="1" x14ac:dyDescent="0.2">
      <c r="A8" s="14" t="s">
        <v>186</v>
      </c>
      <c r="B8" s="18" t="s">
        <v>185</v>
      </c>
      <c r="C8" s="21">
        <v>117</v>
      </c>
      <c r="D8" s="21">
        <v>3</v>
      </c>
      <c r="E8" s="21"/>
      <c r="F8" s="21">
        <v>10</v>
      </c>
      <c r="G8" s="21">
        <v>4</v>
      </c>
      <c r="H8" s="21"/>
      <c r="I8" s="21"/>
      <c r="J8" s="21"/>
      <c r="K8" s="21"/>
      <c r="L8" s="21">
        <v>16</v>
      </c>
      <c r="M8" s="21">
        <v>74</v>
      </c>
      <c r="N8" s="21"/>
      <c r="O8" s="21"/>
      <c r="P8" s="21">
        <v>4</v>
      </c>
      <c r="Q8" s="21"/>
      <c r="R8" s="21">
        <v>3</v>
      </c>
      <c r="S8" s="21"/>
      <c r="T8" s="21"/>
      <c r="U8" s="21"/>
      <c r="V8" s="21">
        <v>3</v>
      </c>
      <c r="W8" s="21"/>
      <c r="X8" s="21"/>
      <c r="Y8" s="21"/>
    </row>
    <row r="9" spans="1:25" s="1" customFormat="1" ht="14.1" customHeight="1" x14ac:dyDescent="0.2">
      <c r="A9" s="14" t="s">
        <v>170</v>
      </c>
      <c r="B9" s="18" t="s">
        <v>169</v>
      </c>
      <c r="C9" s="21">
        <v>76</v>
      </c>
      <c r="D9" s="21"/>
      <c r="E9" s="21"/>
      <c r="F9" s="21">
        <v>10</v>
      </c>
      <c r="G9" s="21">
        <v>4</v>
      </c>
      <c r="H9" s="21"/>
      <c r="I9" s="21"/>
      <c r="J9" s="21">
        <v>1</v>
      </c>
      <c r="K9" s="21"/>
      <c r="L9" s="21">
        <v>6</v>
      </c>
      <c r="M9" s="21">
        <v>39</v>
      </c>
      <c r="N9" s="21"/>
      <c r="O9" s="21">
        <v>1</v>
      </c>
      <c r="P9" s="21">
        <v>2</v>
      </c>
      <c r="Q9" s="21"/>
      <c r="R9" s="21">
        <v>5</v>
      </c>
      <c r="S9" s="21"/>
      <c r="T9" s="21">
        <v>2</v>
      </c>
      <c r="U9" s="21">
        <v>3</v>
      </c>
      <c r="V9" s="21">
        <v>2</v>
      </c>
      <c r="W9" s="21"/>
      <c r="X9" s="21"/>
      <c r="Y9" s="21">
        <v>1</v>
      </c>
    </row>
    <row r="10" spans="1:25" s="1" customFormat="1" ht="14.1" customHeight="1" x14ac:dyDescent="0.2">
      <c r="A10" s="9" t="s">
        <v>176</v>
      </c>
      <c r="B10" s="8" t="s">
        <v>175</v>
      </c>
      <c r="C10" s="4">
        <v>34</v>
      </c>
      <c r="D10" s="4"/>
      <c r="E10" s="4"/>
      <c r="F10" s="4">
        <v>4</v>
      </c>
      <c r="G10" s="4">
        <v>1</v>
      </c>
      <c r="H10" s="4"/>
      <c r="I10" s="4"/>
      <c r="J10" s="4"/>
      <c r="K10" s="4"/>
      <c r="L10" s="4">
        <v>12</v>
      </c>
      <c r="M10" s="4">
        <v>15</v>
      </c>
      <c r="N10" s="4"/>
      <c r="O10" s="4"/>
      <c r="P10" s="4"/>
      <c r="Q10" s="4"/>
      <c r="R10" s="4">
        <v>2</v>
      </c>
      <c r="S10" s="4"/>
      <c r="T10" s="4"/>
      <c r="U10" s="4"/>
      <c r="V10" s="4"/>
      <c r="W10" s="4"/>
      <c r="X10" s="4"/>
      <c r="Y10" s="4"/>
    </row>
    <row r="11" spans="1:25" s="1" customFormat="1" ht="14.1" customHeight="1" x14ac:dyDescent="0.2">
      <c r="A11" s="12" t="s">
        <v>192</v>
      </c>
      <c r="B11" s="17" t="s">
        <v>191</v>
      </c>
      <c r="C11" s="20">
        <v>202</v>
      </c>
      <c r="D11" s="20">
        <v>1</v>
      </c>
      <c r="E11" s="20"/>
      <c r="F11" s="20">
        <v>34</v>
      </c>
      <c r="G11" s="20">
        <v>20</v>
      </c>
      <c r="H11" s="20"/>
      <c r="I11" s="20"/>
      <c r="J11" s="20">
        <v>1</v>
      </c>
      <c r="K11" s="20"/>
      <c r="L11" s="20">
        <v>20</v>
      </c>
      <c r="M11" s="20">
        <v>98</v>
      </c>
      <c r="N11" s="20"/>
      <c r="O11" s="20"/>
      <c r="P11" s="20">
        <v>2</v>
      </c>
      <c r="Q11" s="20"/>
      <c r="R11" s="20">
        <v>4</v>
      </c>
      <c r="S11" s="20"/>
      <c r="T11" s="20"/>
      <c r="U11" s="20">
        <v>4</v>
      </c>
      <c r="V11" s="20">
        <v>9</v>
      </c>
      <c r="W11" s="20"/>
      <c r="X11" s="20">
        <v>1</v>
      </c>
      <c r="Y11" s="20">
        <v>8</v>
      </c>
    </row>
    <row r="12" spans="1:25" s="1" customFormat="1" ht="18.2" customHeight="1" x14ac:dyDescent="0.2">
      <c r="A12" s="12" t="s">
        <v>172</v>
      </c>
      <c r="B12" s="8" t="s">
        <v>171</v>
      </c>
      <c r="C12" s="25">
        <v>56</v>
      </c>
      <c r="D12" s="25">
        <v>1</v>
      </c>
      <c r="E12" s="25"/>
      <c r="F12" s="20">
        <v>6</v>
      </c>
      <c r="G12" s="20">
        <v>2</v>
      </c>
      <c r="H12" s="20"/>
      <c r="I12" s="20"/>
      <c r="J12" s="20"/>
      <c r="K12" s="20"/>
      <c r="L12" s="20">
        <v>11</v>
      </c>
      <c r="M12" s="20">
        <v>33</v>
      </c>
      <c r="N12" s="20"/>
      <c r="O12" s="20"/>
      <c r="P12" s="20">
        <v>1</v>
      </c>
      <c r="Q12" s="20"/>
      <c r="R12" s="20">
        <v>1</v>
      </c>
      <c r="S12" s="20"/>
      <c r="T12" s="20"/>
      <c r="U12" s="20"/>
      <c r="V12" s="20"/>
      <c r="W12" s="20"/>
      <c r="X12" s="20"/>
      <c r="Y12" s="20">
        <v>1</v>
      </c>
    </row>
    <row r="13" spans="1:25" s="1" customFormat="1" ht="22.7" customHeight="1" x14ac:dyDescent="0.2">
      <c r="A13" s="10" t="s">
        <v>190</v>
      </c>
      <c r="B13" s="15" t="s">
        <v>189</v>
      </c>
      <c r="C13" s="4">
        <v>103</v>
      </c>
      <c r="D13" s="4">
        <v>2</v>
      </c>
      <c r="E13" s="4"/>
      <c r="F13" s="4">
        <v>13</v>
      </c>
      <c r="G13" s="4">
        <v>7</v>
      </c>
      <c r="H13" s="4"/>
      <c r="I13" s="4"/>
      <c r="J13" s="4">
        <v>1</v>
      </c>
      <c r="K13" s="4"/>
      <c r="L13" s="4">
        <v>13</v>
      </c>
      <c r="M13" s="4">
        <v>52</v>
      </c>
      <c r="N13" s="4"/>
      <c r="O13" s="4"/>
      <c r="P13" s="4">
        <v>4</v>
      </c>
      <c r="Q13" s="4"/>
      <c r="R13" s="4">
        <v>6</v>
      </c>
      <c r="S13" s="4"/>
      <c r="T13" s="4">
        <v>1</v>
      </c>
      <c r="U13" s="4">
        <v>1</v>
      </c>
      <c r="V13" s="4">
        <v>2</v>
      </c>
      <c r="W13" s="4"/>
      <c r="X13" s="4"/>
      <c r="Y13" s="4">
        <v>1</v>
      </c>
    </row>
    <row r="14" spans="1:25" s="1" customFormat="1" ht="14.1" customHeight="1" x14ac:dyDescent="0.2">
      <c r="A14" s="11" t="s">
        <v>182</v>
      </c>
      <c r="B14" s="16" t="s">
        <v>181</v>
      </c>
      <c r="C14" s="19">
        <v>26</v>
      </c>
      <c r="D14" s="19"/>
      <c r="E14" s="19"/>
      <c r="F14" s="19">
        <v>5</v>
      </c>
      <c r="G14" s="19">
        <v>1</v>
      </c>
      <c r="H14" s="19"/>
      <c r="I14" s="19"/>
      <c r="J14" s="19"/>
      <c r="K14" s="19"/>
      <c r="L14" s="19">
        <v>4</v>
      </c>
      <c r="M14" s="19">
        <v>15</v>
      </c>
      <c r="N14" s="19"/>
      <c r="O14" s="19"/>
      <c r="P14" s="19">
        <v>1</v>
      </c>
      <c r="Q14" s="19"/>
      <c r="R14" s="19"/>
      <c r="S14" s="19"/>
      <c r="T14" s="19"/>
      <c r="U14" s="19"/>
      <c r="V14" s="19"/>
      <c r="W14" s="19"/>
      <c r="X14" s="19"/>
      <c r="Y14" s="19"/>
    </row>
    <row r="15" spans="1:25" s="1" customFormat="1" ht="14.1" customHeight="1" x14ac:dyDescent="0.2">
      <c r="A15" s="13">
        <v>200017341</v>
      </c>
      <c r="B15" s="16" t="s">
        <v>168</v>
      </c>
      <c r="C15" s="19">
        <v>18</v>
      </c>
      <c r="D15" s="19"/>
      <c r="E15" s="19"/>
      <c r="F15" s="19">
        <v>1</v>
      </c>
      <c r="G15" s="19"/>
      <c r="H15" s="19"/>
      <c r="I15" s="19"/>
      <c r="J15" s="19"/>
      <c r="K15" s="19"/>
      <c r="L15" s="19">
        <v>4</v>
      </c>
      <c r="M15" s="19">
        <v>10</v>
      </c>
      <c r="N15" s="19"/>
      <c r="O15" s="19"/>
      <c r="P15" s="19">
        <v>2</v>
      </c>
      <c r="Q15" s="19"/>
      <c r="R15" s="19"/>
      <c r="S15" s="19"/>
      <c r="T15" s="19"/>
      <c r="U15" s="19"/>
      <c r="V15" s="19"/>
      <c r="W15" s="19"/>
      <c r="X15" s="19"/>
      <c r="Y15" s="19">
        <v>1</v>
      </c>
    </row>
    <row r="16" spans="1:25" s="1" customFormat="1" ht="14.1" customHeight="1" x14ac:dyDescent="0.2">
      <c r="A16" s="14" t="s">
        <v>174</v>
      </c>
      <c r="B16" s="18" t="s">
        <v>173</v>
      </c>
      <c r="C16" s="21">
        <v>18</v>
      </c>
      <c r="D16" s="21">
        <v>1</v>
      </c>
      <c r="E16" s="21"/>
      <c r="F16" s="21">
        <v>3</v>
      </c>
      <c r="G16" s="21">
        <v>1</v>
      </c>
      <c r="H16" s="21"/>
      <c r="I16" s="21"/>
      <c r="J16" s="21"/>
      <c r="K16" s="21"/>
      <c r="L16" s="21">
        <v>2</v>
      </c>
      <c r="M16" s="21">
        <v>10</v>
      </c>
      <c r="N16" s="21"/>
      <c r="O16" s="21"/>
      <c r="P16" s="21"/>
      <c r="Q16" s="21"/>
      <c r="R16" s="21">
        <v>1</v>
      </c>
      <c r="S16" s="21"/>
      <c r="T16" s="21"/>
      <c r="U16" s="21"/>
      <c r="V16" s="21"/>
      <c r="W16" s="21"/>
      <c r="X16" s="21"/>
      <c r="Y16" s="21"/>
    </row>
    <row r="17" spans="1:25" s="1" customFormat="1" ht="14.1" customHeight="1" x14ac:dyDescent="0.2">
      <c r="A17" s="14" t="s">
        <v>194</v>
      </c>
      <c r="B17" s="18" t="s">
        <v>193</v>
      </c>
      <c r="C17" s="21">
        <v>44</v>
      </c>
      <c r="D17" s="21"/>
      <c r="E17" s="21"/>
      <c r="F17" s="21">
        <v>6</v>
      </c>
      <c r="G17" s="21">
        <v>6</v>
      </c>
      <c r="H17" s="21"/>
      <c r="I17" s="21"/>
      <c r="J17" s="21"/>
      <c r="K17" s="21"/>
      <c r="L17" s="21">
        <v>6</v>
      </c>
      <c r="M17" s="21">
        <v>16</v>
      </c>
      <c r="N17" s="21"/>
      <c r="O17" s="21"/>
      <c r="P17" s="21">
        <v>6</v>
      </c>
      <c r="Q17" s="21"/>
      <c r="R17" s="21">
        <v>1</v>
      </c>
      <c r="S17" s="21"/>
      <c r="T17" s="21"/>
      <c r="U17" s="21"/>
      <c r="V17" s="21">
        <v>3</v>
      </c>
      <c r="W17" s="21"/>
      <c r="X17" s="21"/>
      <c r="Y17" s="21"/>
    </row>
    <row r="18" spans="1:25" s="1" customFormat="1" ht="14.1" customHeight="1" x14ac:dyDescent="0.2">
      <c r="A18" s="9" t="s">
        <v>184</v>
      </c>
      <c r="B18" s="8" t="s">
        <v>183</v>
      </c>
      <c r="C18" s="4">
        <v>3029</v>
      </c>
      <c r="D18" s="4">
        <v>3</v>
      </c>
      <c r="E18" s="4">
        <v>2</v>
      </c>
      <c r="F18" s="4">
        <v>409</v>
      </c>
      <c r="G18" s="4">
        <v>211</v>
      </c>
      <c r="H18" s="4"/>
      <c r="I18" s="4">
        <v>2</v>
      </c>
      <c r="J18" s="4">
        <v>30</v>
      </c>
      <c r="K18" s="4"/>
      <c r="L18" s="4">
        <v>728</v>
      </c>
      <c r="M18" s="4">
        <v>1151</v>
      </c>
      <c r="N18" s="4"/>
      <c r="O18" s="4">
        <v>3</v>
      </c>
      <c r="P18" s="4">
        <v>110</v>
      </c>
      <c r="Q18" s="4"/>
      <c r="R18" s="4">
        <v>63</v>
      </c>
      <c r="S18" s="4">
        <v>15</v>
      </c>
      <c r="T18" s="4">
        <v>9</v>
      </c>
      <c r="U18" s="4">
        <v>68</v>
      </c>
      <c r="V18" s="4">
        <v>59</v>
      </c>
      <c r="W18" s="4"/>
      <c r="X18" s="4">
        <v>9</v>
      </c>
      <c r="Y18" s="4">
        <v>157</v>
      </c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A2" sqref="A2:O2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11" width="10" customWidth="1"/>
    <col min="12" max="12" width="42.42578125" customWidth="1"/>
  </cols>
  <sheetData>
    <row r="1" spans="1:11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150</v>
      </c>
      <c r="E1" s="2" t="s">
        <v>151</v>
      </c>
      <c r="F1" s="2" t="s">
        <v>152</v>
      </c>
      <c r="G1" s="2" t="s">
        <v>153</v>
      </c>
      <c r="H1" s="2" t="s">
        <v>154</v>
      </c>
      <c r="I1" s="2" t="s">
        <v>155</v>
      </c>
      <c r="J1" s="2" t="s">
        <v>156</v>
      </c>
      <c r="K1" s="2" t="s">
        <v>27</v>
      </c>
    </row>
    <row r="2" spans="1:11" s="1" customFormat="1" ht="14.1" customHeight="1" x14ac:dyDescent="0.2">
      <c r="A2" s="14" t="s">
        <v>198</v>
      </c>
      <c r="B2" s="18" t="s">
        <v>197</v>
      </c>
      <c r="C2" s="21">
        <v>893</v>
      </c>
      <c r="D2" s="21">
        <v>18</v>
      </c>
      <c r="E2" s="21">
        <v>248</v>
      </c>
      <c r="F2" s="21">
        <v>406</v>
      </c>
      <c r="G2" s="21">
        <v>188</v>
      </c>
      <c r="H2" s="21">
        <v>25</v>
      </c>
      <c r="I2" s="21">
        <v>8</v>
      </c>
      <c r="J2" s="21"/>
      <c r="K2" s="21"/>
    </row>
    <row r="3" spans="1:11" s="1" customFormat="1" ht="14.1" customHeight="1" x14ac:dyDescent="0.2">
      <c r="A3" s="9" t="s">
        <v>188</v>
      </c>
      <c r="B3" s="8" t="s">
        <v>187</v>
      </c>
      <c r="C3" s="4">
        <v>141</v>
      </c>
      <c r="D3" s="4">
        <v>45</v>
      </c>
      <c r="E3" s="4">
        <v>40</v>
      </c>
      <c r="F3" s="4">
        <v>39</v>
      </c>
      <c r="G3" s="4">
        <v>16</v>
      </c>
      <c r="H3" s="4">
        <v>1</v>
      </c>
      <c r="I3" s="4"/>
      <c r="J3" s="4"/>
      <c r="K3" s="4"/>
    </row>
    <row r="4" spans="1:11" s="1" customFormat="1" ht="14.1" customHeight="1" x14ac:dyDescent="0.2">
      <c r="A4" s="12" t="s">
        <v>200</v>
      </c>
      <c r="B4" s="17" t="s">
        <v>199</v>
      </c>
      <c r="C4" s="20">
        <v>432</v>
      </c>
      <c r="D4" s="20">
        <v>2</v>
      </c>
      <c r="E4" s="20">
        <v>124</v>
      </c>
      <c r="F4" s="20">
        <v>188</v>
      </c>
      <c r="G4" s="20">
        <v>102</v>
      </c>
      <c r="H4" s="20">
        <v>14</v>
      </c>
      <c r="I4" s="20">
        <v>2</v>
      </c>
      <c r="J4" s="20"/>
      <c r="K4" s="20"/>
    </row>
    <row r="5" spans="1:11" s="1" customFormat="1" ht="9.75" customHeight="1" x14ac:dyDescent="0.2">
      <c r="A5" s="12" t="s">
        <v>178</v>
      </c>
      <c r="B5" s="8" t="s">
        <v>177</v>
      </c>
      <c r="C5" s="25">
        <v>405</v>
      </c>
      <c r="D5" s="25">
        <v>11</v>
      </c>
      <c r="E5" s="25">
        <v>107</v>
      </c>
      <c r="F5" s="25">
        <v>173</v>
      </c>
      <c r="G5" s="20">
        <v>97</v>
      </c>
      <c r="H5" s="20">
        <v>15</v>
      </c>
      <c r="I5" s="20">
        <v>2</v>
      </c>
      <c r="J5" s="20"/>
      <c r="K5" s="20"/>
    </row>
    <row r="6" spans="1:11" s="1" customFormat="1" ht="14.1" customHeight="1" x14ac:dyDescent="0.2">
      <c r="A6" s="9" t="s">
        <v>196</v>
      </c>
      <c r="B6" s="8" t="s">
        <v>195</v>
      </c>
      <c r="C6" s="4">
        <v>10</v>
      </c>
      <c r="D6" s="4"/>
      <c r="E6" s="4"/>
      <c r="F6" s="4">
        <v>2</v>
      </c>
      <c r="G6" s="4">
        <v>6</v>
      </c>
      <c r="H6" s="4">
        <v>2</v>
      </c>
      <c r="I6" s="4"/>
      <c r="J6" s="4"/>
      <c r="K6" s="4"/>
    </row>
    <row r="7" spans="1:11" s="1" customFormat="1" ht="14.1" customHeight="1" x14ac:dyDescent="0.2">
      <c r="A7" s="12" t="s">
        <v>180</v>
      </c>
      <c r="B7" s="17" t="s">
        <v>179</v>
      </c>
      <c r="C7" s="20">
        <v>10</v>
      </c>
      <c r="D7" s="20"/>
      <c r="E7" s="20">
        <v>1</v>
      </c>
      <c r="F7" s="20">
        <v>5</v>
      </c>
      <c r="G7" s="20">
        <v>3</v>
      </c>
      <c r="H7" s="20">
        <v>1</v>
      </c>
      <c r="I7" s="20"/>
      <c r="J7" s="20"/>
      <c r="K7" s="20"/>
    </row>
    <row r="8" spans="1:11" s="1" customFormat="1" ht="18.2" customHeight="1" x14ac:dyDescent="0.2">
      <c r="A8" s="12" t="s">
        <v>186</v>
      </c>
      <c r="B8" s="8" t="s">
        <v>185</v>
      </c>
      <c r="C8" s="25">
        <v>117</v>
      </c>
      <c r="D8" s="25">
        <v>3</v>
      </c>
      <c r="E8" s="25">
        <v>14</v>
      </c>
      <c r="F8" s="25">
        <v>55</v>
      </c>
      <c r="G8" s="20">
        <v>39</v>
      </c>
      <c r="H8" s="20">
        <v>6</v>
      </c>
      <c r="I8" s="20"/>
      <c r="J8" s="20"/>
      <c r="K8" s="20"/>
    </row>
    <row r="9" spans="1:11" s="1" customFormat="1" ht="22.7" customHeight="1" x14ac:dyDescent="0.2">
      <c r="A9" s="10" t="s">
        <v>170</v>
      </c>
      <c r="B9" s="15" t="s">
        <v>169</v>
      </c>
      <c r="C9" s="4">
        <v>76</v>
      </c>
      <c r="D9" s="4">
        <v>5</v>
      </c>
      <c r="E9" s="4">
        <v>19</v>
      </c>
      <c r="F9" s="4">
        <v>33</v>
      </c>
      <c r="G9" s="4">
        <v>17</v>
      </c>
      <c r="H9" s="4">
        <v>2</v>
      </c>
      <c r="I9" s="4"/>
      <c r="J9" s="4"/>
      <c r="K9" s="4"/>
    </row>
    <row r="10" spans="1:11" s="1" customFormat="1" ht="14.1" customHeight="1" x14ac:dyDescent="0.2">
      <c r="A10" s="11" t="s">
        <v>176</v>
      </c>
      <c r="B10" s="16" t="s">
        <v>175</v>
      </c>
      <c r="C10" s="19">
        <v>34</v>
      </c>
      <c r="D10" s="19"/>
      <c r="E10" s="19">
        <v>4</v>
      </c>
      <c r="F10" s="19">
        <v>12</v>
      </c>
      <c r="G10" s="19">
        <v>12</v>
      </c>
      <c r="H10" s="19">
        <v>6</v>
      </c>
      <c r="I10" s="19"/>
      <c r="J10" s="19"/>
      <c r="K10" s="19"/>
    </row>
    <row r="11" spans="1:11" s="1" customFormat="1" ht="14.1" customHeight="1" x14ac:dyDescent="0.2">
      <c r="A11" s="11" t="s">
        <v>192</v>
      </c>
      <c r="B11" s="16" t="s">
        <v>191</v>
      </c>
      <c r="C11" s="19">
        <v>202</v>
      </c>
      <c r="D11" s="19">
        <v>2</v>
      </c>
      <c r="E11" s="19">
        <v>62</v>
      </c>
      <c r="F11" s="19">
        <v>100</v>
      </c>
      <c r="G11" s="19">
        <v>34</v>
      </c>
      <c r="H11" s="19">
        <v>4</v>
      </c>
      <c r="I11" s="19"/>
      <c r="J11" s="19"/>
      <c r="K11" s="19"/>
    </row>
    <row r="12" spans="1:11" s="1" customFormat="1" ht="14.1" customHeight="1" x14ac:dyDescent="0.2">
      <c r="A12" s="11" t="s">
        <v>172</v>
      </c>
      <c r="B12" s="16" t="s">
        <v>171</v>
      </c>
      <c r="C12" s="19">
        <v>56</v>
      </c>
      <c r="D12" s="19">
        <v>1</v>
      </c>
      <c r="E12" s="19">
        <v>3</v>
      </c>
      <c r="F12" s="19">
        <v>29</v>
      </c>
      <c r="G12" s="19">
        <v>21</v>
      </c>
      <c r="H12" s="19">
        <v>2</v>
      </c>
      <c r="I12" s="19"/>
      <c r="J12" s="19"/>
      <c r="K12" s="19"/>
    </row>
    <row r="13" spans="1:11" s="1" customFormat="1" ht="14.1" customHeight="1" x14ac:dyDescent="0.2">
      <c r="A13" s="11" t="s">
        <v>190</v>
      </c>
      <c r="B13" s="16" t="s">
        <v>189</v>
      </c>
      <c r="C13" s="19">
        <v>103</v>
      </c>
      <c r="D13" s="19">
        <v>1</v>
      </c>
      <c r="E13" s="19">
        <v>22</v>
      </c>
      <c r="F13" s="19">
        <v>42</v>
      </c>
      <c r="G13" s="19">
        <v>36</v>
      </c>
      <c r="H13" s="19">
        <v>2</v>
      </c>
      <c r="I13" s="19"/>
      <c r="J13" s="19"/>
      <c r="K13" s="19"/>
    </row>
    <row r="14" spans="1:11" s="1" customFormat="1" ht="14.1" customHeight="1" x14ac:dyDescent="0.2">
      <c r="A14" s="11" t="s">
        <v>182</v>
      </c>
      <c r="B14" s="16" t="s">
        <v>181</v>
      </c>
      <c r="C14" s="19">
        <v>26</v>
      </c>
      <c r="D14" s="19">
        <v>1</v>
      </c>
      <c r="E14" s="19">
        <v>4</v>
      </c>
      <c r="F14" s="19">
        <v>13</v>
      </c>
      <c r="G14" s="19">
        <v>6</v>
      </c>
      <c r="H14" s="19">
        <v>2</v>
      </c>
      <c r="I14" s="19"/>
      <c r="J14" s="19"/>
      <c r="K14" s="19"/>
    </row>
    <row r="15" spans="1:11" s="1" customFormat="1" ht="14.1" customHeight="1" x14ac:dyDescent="0.2">
      <c r="A15" s="13">
        <v>200017341</v>
      </c>
      <c r="B15" s="16" t="s">
        <v>168</v>
      </c>
      <c r="C15" s="19">
        <v>18</v>
      </c>
      <c r="D15" s="19"/>
      <c r="E15" s="19">
        <v>1</v>
      </c>
      <c r="F15" s="19">
        <v>5</v>
      </c>
      <c r="G15" s="19">
        <v>8</v>
      </c>
      <c r="H15" s="19">
        <v>3</v>
      </c>
      <c r="I15" s="19">
        <v>1</v>
      </c>
      <c r="J15" s="19"/>
      <c r="K15" s="19"/>
    </row>
    <row r="16" spans="1:11" s="1" customFormat="1" ht="14.1" customHeight="1" x14ac:dyDescent="0.2">
      <c r="A16" s="14" t="s">
        <v>174</v>
      </c>
      <c r="B16" s="18" t="s">
        <v>173</v>
      </c>
      <c r="C16" s="21">
        <v>18</v>
      </c>
      <c r="D16" s="21"/>
      <c r="E16" s="21"/>
      <c r="F16" s="21">
        <v>9</v>
      </c>
      <c r="G16" s="21">
        <v>8</v>
      </c>
      <c r="H16" s="21">
        <v>1</v>
      </c>
      <c r="I16" s="21"/>
      <c r="J16" s="21"/>
      <c r="K16" s="21"/>
    </row>
    <row r="17" spans="1:11" s="1" customFormat="1" ht="14.1" customHeight="1" x14ac:dyDescent="0.2">
      <c r="A17" s="14" t="s">
        <v>194</v>
      </c>
      <c r="B17" s="18" t="s">
        <v>193</v>
      </c>
      <c r="C17" s="21">
        <v>44</v>
      </c>
      <c r="D17" s="21"/>
      <c r="E17" s="21">
        <v>15</v>
      </c>
      <c r="F17" s="21">
        <v>15</v>
      </c>
      <c r="G17" s="21">
        <v>12</v>
      </c>
      <c r="H17" s="21">
        <v>2</v>
      </c>
      <c r="I17" s="21"/>
      <c r="J17" s="21"/>
      <c r="K17" s="21"/>
    </row>
    <row r="18" spans="1:11" s="1" customFormat="1" ht="18.2" customHeight="1" x14ac:dyDescent="0.2">
      <c r="A18" s="12" t="s">
        <v>184</v>
      </c>
      <c r="B18" s="8" t="s">
        <v>183</v>
      </c>
      <c r="C18" s="25">
        <v>3029</v>
      </c>
      <c r="D18" s="25">
        <v>144</v>
      </c>
      <c r="E18" s="25">
        <v>767</v>
      </c>
      <c r="F18" s="25">
        <v>1449</v>
      </c>
      <c r="G18" s="20">
        <v>565</v>
      </c>
      <c r="H18" s="20">
        <v>87</v>
      </c>
      <c r="I18" s="20">
        <v>17</v>
      </c>
      <c r="J18" s="20"/>
      <c r="K18" s="20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opLeftCell="C1" workbookViewId="0">
      <selection activeCell="A2" sqref="A2:O2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4" width="10" customWidth="1"/>
    <col min="5" max="19" width="15.42578125" customWidth="1"/>
  </cols>
  <sheetData>
    <row r="1" spans="1:19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141</v>
      </c>
      <c r="E1" s="2" t="s">
        <v>79</v>
      </c>
      <c r="F1" s="2" t="s">
        <v>80</v>
      </c>
      <c r="G1" s="2" t="s">
        <v>81</v>
      </c>
      <c r="H1" s="2" t="s">
        <v>82</v>
      </c>
      <c r="I1" s="2" t="s">
        <v>83</v>
      </c>
      <c r="J1" s="2" t="s">
        <v>84</v>
      </c>
      <c r="K1" s="2" t="s">
        <v>85</v>
      </c>
      <c r="L1" s="2" t="s">
        <v>86</v>
      </c>
      <c r="M1" s="2" t="s">
        <v>87</v>
      </c>
      <c r="N1" s="2" t="s">
        <v>88</v>
      </c>
      <c r="O1" s="2" t="s">
        <v>89</v>
      </c>
      <c r="P1" s="2" t="s">
        <v>90</v>
      </c>
      <c r="Q1" s="2" t="s">
        <v>27</v>
      </c>
      <c r="R1" s="2" t="s">
        <v>91</v>
      </c>
      <c r="S1" s="2" t="s">
        <v>55</v>
      </c>
    </row>
    <row r="2" spans="1:19" s="1" customFormat="1" ht="14.1" customHeight="1" x14ac:dyDescent="0.2">
      <c r="A2" s="14" t="s">
        <v>198</v>
      </c>
      <c r="B2" s="18" t="s">
        <v>197</v>
      </c>
      <c r="C2" s="21">
        <v>893</v>
      </c>
      <c r="D2" s="28">
        <v>982.68085106382978</v>
      </c>
      <c r="E2" s="21"/>
      <c r="F2" s="21">
        <v>103</v>
      </c>
      <c r="G2" s="21">
        <v>434</v>
      </c>
      <c r="H2" s="21">
        <v>256</v>
      </c>
      <c r="I2" s="21">
        <v>83</v>
      </c>
      <c r="J2" s="21">
        <v>7</v>
      </c>
      <c r="K2" s="21">
        <v>5</v>
      </c>
      <c r="L2" s="21"/>
      <c r="M2" s="21"/>
      <c r="N2" s="21"/>
      <c r="O2" s="21"/>
      <c r="P2" s="21">
        <v>1</v>
      </c>
      <c r="Q2" s="21"/>
      <c r="R2" s="21"/>
      <c r="S2" s="21">
        <v>4</v>
      </c>
    </row>
    <row r="3" spans="1:19" s="1" customFormat="1" ht="14.1" customHeight="1" x14ac:dyDescent="0.2">
      <c r="A3" s="9" t="s">
        <v>188</v>
      </c>
      <c r="B3" s="8" t="s">
        <v>187</v>
      </c>
      <c r="C3" s="4">
        <v>141</v>
      </c>
      <c r="D3" s="6">
        <v>1014.8368794326241</v>
      </c>
      <c r="E3" s="4">
        <v>9</v>
      </c>
      <c r="F3" s="4">
        <v>6</v>
      </c>
      <c r="G3" s="4">
        <v>45</v>
      </c>
      <c r="H3" s="4">
        <v>49</v>
      </c>
      <c r="I3" s="4">
        <v>20</v>
      </c>
      <c r="J3" s="4">
        <v>2</v>
      </c>
      <c r="K3" s="4">
        <v>1</v>
      </c>
      <c r="L3" s="4"/>
      <c r="M3" s="4"/>
      <c r="N3" s="4"/>
      <c r="O3" s="4">
        <v>1</v>
      </c>
      <c r="P3" s="4"/>
      <c r="Q3" s="4"/>
      <c r="R3" s="4"/>
      <c r="S3" s="4">
        <v>8</v>
      </c>
    </row>
    <row r="4" spans="1:19" s="1" customFormat="1" ht="14.1" customHeight="1" x14ac:dyDescent="0.2">
      <c r="A4" s="12" t="s">
        <v>200</v>
      </c>
      <c r="B4" s="17" t="s">
        <v>199</v>
      </c>
      <c r="C4" s="20">
        <v>432</v>
      </c>
      <c r="D4" s="30">
        <v>966.50694444444446</v>
      </c>
      <c r="E4" s="20">
        <v>1</v>
      </c>
      <c r="F4" s="20">
        <v>40</v>
      </c>
      <c r="G4" s="20">
        <v>216</v>
      </c>
      <c r="H4" s="20">
        <v>133</v>
      </c>
      <c r="I4" s="20">
        <v>35</v>
      </c>
      <c r="J4" s="20">
        <v>3</v>
      </c>
      <c r="K4" s="20"/>
      <c r="L4" s="20">
        <v>1</v>
      </c>
      <c r="M4" s="20">
        <v>1</v>
      </c>
      <c r="N4" s="20"/>
      <c r="O4" s="20"/>
      <c r="P4" s="20"/>
      <c r="Q4" s="20"/>
      <c r="R4" s="20"/>
      <c r="S4" s="20">
        <v>2</v>
      </c>
    </row>
    <row r="5" spans="1:19" s="1" customFormat="1" ht="18.2" customHeight="1" x14ac:dyDescent="0.2">
      <c r="A5" s="12" t="s">
        <v>178</v>
      </c>
      <c r="B5" s="8" t="s">
        <v>177</v>
      </c>
      <c r="C5" s="25">
        <v>405</v>
      </c>
      <c r="D5" s="29">
        <v>1020.2543209876543</v>
      </c>
      <c r="E5" s="25">
        <v>1</v>
      </c>
      <c r="F5" s="20">
        <v>24</v>
      </c>
      <c r="G5" s="20">
        <v>179</v>
      </c>
      <c r="H5" s="20">
        <v>149</v>
      </c>
      <c r="I5" s="20">
        <v>45</v>
      </c>
      <c r="J5" s="20">
        <v>4</v>
      </c>
      <c r="K5" s="20"/>
      <c r="L5" s="20"/>
      <c r="M5" s="20"/>
      <c r="N5" s="20"/>
      <c r="O5" s="20"/>
      <c r="P5" s="20"/>
      <c r="Q5" s="20"/>
      <c r="R5" s="20"/>
      <c r="S5" s="20">
        <v>3</v>
      </c>
    </row>
    <row r="6" spans="1:19" s="1" customFormat="1" ht="14.1" customHeight="1" x14ac:dyDescent="0.2">
      <c r="A6" s="9" t="s">
        <v>196</v>
      </c>
      <c r="B6" s="8" t="s">
        <v>195</v>
      </c>
      <c r="C6" s="4">
        <v>10</v>
      </c>
      <c r="D6" s="6">
        <v>669.2</v>
      </c>
      <c r="E6" s="4"/>
      <c r="F6" s="4">
        <v>2</v>
      </c>
      <c r="G6" s="4">
        <v>8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s="1" customFormat="1" ht="14.1" customHeight="1" x14ac:dyDescent="0.2">
      <c r="A7" s="12" t="s">
        <v>180</v>
      </c>
      <c r="B7" s="17" t="s">
        <v>179</v>
      </c>
      <c r="C7" s="20">
        <v>10</v>
      </c>
      <c r="D7" s="30">
        <v>1148.4000000000001</v>
      </c>
      <c r="E7" s="20"/>
      <c r="F7" s="20"/>
      <c r="G7" s="20">
        <v>5</v>
      </c>
      <c r="H7" s="20">
        <v>2</v>
      </c>
      <c r="I7" s="20">
        <v>3</v>
      </c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s="1" customFormat="1" ht="18.2" customHeight="1" x14ac:dyDescent="0.2">
      <c r="A8" s="12" t="s">
        <v>186</v>
      </c>
      <c r="B8" s="8" t="s">
        <v>185</v>
      </c>
      <c r="C8" s="25">
        <v>117</v>
      </c>
      <c r="D8" s="29">
        <v>1005.965811965812</v>
      </c>
      <c r="E8" s="25"/>
      <c r="F8" s="20">
        <v>8</v>
      </c>
      <c r="G8" s="20">
        <v>60</v>
      </c>
      <c r="H8" s="20">
        <v>36</v>
      </c>
      <c r="I8" s="20">
        <v>9</v>
      </c>
      <c r="J8" s="20">
        <v>3</v>
      </c>
      <c r="K8" s="20">
        <v>1</v>
      </c>
      <c r="L8" s="20"/>
      <c r="M8" s="20"/>
      <c r="N8" s="20"/>
      <c r="O8" s="20"/>
      <c r="P8" s="20"/>
      <c r="Q8" s="20"/>
      <c r="R8" s="20"/>
      <c r="S8" s="20"/>
    </row>
    <row r="9" spans="1:19" s="1" customFormat="1" ht="22.7" customHeight="1" x14ac:dyDescent="0.2">
      <c r="A9" s="10" t="s">
        <v>170</v>
      </c>
      <c r="B9" s="15" t="s">
        <v>169</v>
      </c>
      <c r="C9" s="4">
        <v>76</v>
      </c>
      <c r="D9" s="6">
        <v>1196.0263157894738</v>
      </c>
      <c r="E9" s="4"/>
      <c r="F9" s="4">
        <v>4</v>
      </c>
      <c r="G9" s="4">
        <v>22</v>
      </c>
      <c r="H9" s="4">
        <v>34</v>
      </c>
      <c r="I9" s="4">
        <v>13</v>
      </c>
      <c r="J9" s="4">
        <v>2</v>
      </c>
      <c r="K9" s="4">
        <v>1</v>
      </c>
      <c r="L9" s="4"/>
      <c r="M9" s="4"/>
      <c r="N9" s="4"/>
      <c r="O9" s="4"/>
      <c r="P9" s="4"/>
      <c r="Q9" s="4"/>
      <c r="R9" s="4"/>
      <c r="S9" s="4"/>
    </row>
    <row r="10" spans="1:19" s="1" customFormat="1" ht="14.1" customHeight="1" x14ac:dyDescent="0.2">
      <c r="A10" s="11" t="s">
        <v>176</v>
      </c>
      <c r="B10" s="16" t="s">
        <v>175</v>
      </c>
      <c r="C10" s="19">
        <v>34</v>
      </c>
      <c r="D10" s="27">
        <v>826.52941176470586</v>
      </c>
      <c r="E10" s="19"/>
      <c r="F10" s="19">
        <v>5</v>
      </c>
      <c r="G10" s="19">
        <v>20</v>
      </c>
      <c r="H10" s="19">
        <v>6</v>
      </c>
      <c r="I10" s="19">
        <v>3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</row>
    <row r="11" spans="1:19" s="1" customFormat="1" ht="14.1" customHeight="1" x14ac:dyDescent="0.2">
      <c r="A11" s="11" t="s">
        <v>192</v>
      </c>
      <c r="B11" s="16" t="s">
        <v>191</v>
      </c>
      <c r="C11" s="19">
        <v>202</v>
      </c>
      <c r="D11" s="27">
        <v>1091.9059405940593</v>
      </c>
      <c r="E11" s="19"/>
      <c r="F11" s="19">
        <v>10</v>
      </c>
      <c r="G11" s="19">
        <v>80</v>
      </c>
      <c r="H11" s="19">
        <v>76</v>
      </c>
      <c r="I11" s="19">
        <v>29</v>
      </c>
      <c r="J11" s="19">
        <v>6</v>
      </c>
      <c r="K11" s="19"/>
      <c r="L11" s="19"/>
      <c r="M11" s="19"/>
      <c r="N11" s="19"/>
      <c r="O11" s="19"/>
      <c r="P11" s="19"/>
      <c r="Q11" s="19"/>
      <c r="R11" s="19"/>
      <c r="S11" s="19">
        <v>1</v>
      </c>
    </row>
    <row r="12" spans="1:19" s="1" customFormat="1" ht="14.1" customHeight="1" x14ac:dyDescent="0.2">
      <c r="A12" s="11" t="s">
        <v>172</v>
      </c>
      <c r="B12" s="16" t="s">
        <v>171</v>
      </c>
      <c r="C12" s="19">
        <v>56</v>
      </c>
      <c r="D12" s="27">
        <v>994.16071428571433</v>
      </c>
      <c r="E12" s="19"/>
      <c r="F12" s="19">
        <v>7</v>
      </c>
      <c r="G12" s="19">
        <v>25</v>
      </c>
      <c r="H12" s="19">
        <v>16</v>
      </c>
      <c r="I12" s="19">
        <v>5</v>
      </c>
      <c r="J12" s="19">
        <v>1</v>
      </c>
      <c r="K12" s="19">
        <v>1</v>
      </c>
      <c r="L12" s="19"/>
      <c r="M12" s="19"/>
      <c r="N12" s="19"/>
      <c r="O12" s="19"/>
      <c r="P12" s="19"/>
      <c r="Q12" s="19"/>
      <c r="R12" s="19"/>
      <c r="S12" s="19">
        <v>1</v>
      </c>
    </row>
    <row r="13" spans="1:19" s="1" customFormat="1" ht="14.1" customHeight="1" x14ac:dyDescent="0.2">
      <c r="A13" s="11" t="s">
        <v>190</v>
      </c>
      <c r="B13" s="16" t="s">
        <v>189</v>
      </c>
      <c r="C13" s="19">
        <v>103</v>
      </c>
      <c r="D13" s="27">
        <v>954.77669902912623</v>
      </c>
      <c r="E13" s="19"/>
      <c r="F13" s="19">
        <v>11</v>
      </c>
      <c r="G13" s="19">
        <v>49</v>
      </c>
      <c r="H13" s="19">
        <v>35</v>
      </c>
      <c r="I13" s="19">
        <v>6</v>
      </c>
      <c r="J13" s="19">
        <v>1</v>
      </c>
      <c r="K13" s="19"/>
      <c r="L13" s="19"/>
      <c r="M13" s="19"/>
      <c r="N13" s="19"/>
      <c r="O13" s="19"/>
      <c r="P13" s="19"/>
      <c r="Q13" s="19"/>
      <c r="R13" s="19"/>
      <c r="S13" s="19">
        <v>1</v>
      </c>
    </row>
    <row r="14" spans="1:19" s="1" customFormat="1" ht="14.1" customHeight="1" x14ac:dyDescent="0.2">
      <c r="A14" s="11" t="s">
        <v>182</v>
      </c>
      <c r="B14" s="16" t="s">
        <v>181</v>
      </c>
      <c r="C14" s="19">
        <v>26</v>
      </c>
      <c r="D14" s="27">
        <v>1135.7307692307693</v>
      </c>
      <c r="E14" s="19"/>
      <c r="F14" s="19">
        <v>2</v>
      </c>
      <c r="G14" s="19">
        <v>8</v>
      </c>
      <c r="H14" s="19">
        <v>11</v>
      </c>
      <c r="I14" s="19">
        <v>5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</row>
    <row r="15" spans="1:19" s="1" customFormat="1" ht="14.1" customHeight="1" x14ac:dyDescent="0.2">
      <c r="A15" s="13">
        <v>200017341</v>
      </c>
      <c r="B15" s="16" t="s">
        <v>168</v>
      </c>
      <c r="C15" s="19">
        <v>18</v>
      </c>
      <c r="D15" s="27">
        <v>731.88888888888891</v>
      </c>
      <c r="E15" s="19"/>
      <c r="F15" s="19">
        <v>7</v>
      </c>
      <c r="G15" s="19">
        <v>8</v>
      </c>
      <c r="H15" s="19">
        <v>1</v>
      </c>
      <c r="I15" s="19">
        <v>1</v>
      </c>
      <c r="J15" s="19">
        <v>1</v>
      </c>
      <c r="K15" s="19"/>
      <c r="L15" s="19"/>
      <c r="M15" s="19"/>
      <c r="N15" s="19"/>
      <c r="O15" s="19"/>
      <c r="P15" s="19"/>
      <c r="Q15" s="19"/>
      <c r="R15" s="19"/>
      <c r="S15" s="19"/>
    </row>
    <row r="16" spans="1:19" s="1" customFormat="1" ht="14.1" customHeight="1" x14ac:dyDescent="0.2">
      <c r="A16" s="14" t="s">
        <v>174</v>
      </c>
      <c r="B16" s="18" t="s">
        <v>173</v>
      </c>
      <c r="C16" s="21">
        <v>18</v>
      </c>
      <c r="D16" s="28">
        <v>980.44444444444446</v>
      </c>
      <c r="E16" s="21"/>
      <c r="F16" s="21">
        <v>1</v>
      </c>
      <c r="G16" s="21">
        <v>9</v>
      </c>
      <c r="H16" s="21">
        <v>5</v>
      </c>
      <c r="I16" s="21">
        <v>3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</row>
    <row r="17" spans="1:19" s="1" customFormat="1" ht="14.1" customHeight="1" x14ac:dyDescent="0.2">
      <c r="A17" s="14" t="s">
        <v>194</v>
      </c>
      <c r="B17" s="18" t="s">
        <v>193</v>
      </c>
      <c r="C17" s="21">
        <v>44</v>
      </c>
      <c r="D17" s="28">
        <v>1002.9545454545455</v>
      </c>
      <c r="E17" s="21"/>
      <c r="F17" s="21">
        <v>2</v>
      </c>
      <c r="G17" s="21">
        <v>19</v>
      </c>
      <c r="H17" s="21">
        <v>17</v>
      </c>
      <c r="I17" s="21">
        <v>6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</row>
    <row r="18" spans="1:19" s="1" customFormat="1" ht="18.2" customHeight="1" x14ac:dyDescent="0.2">
      <c r="A18" s="12" t="s">
        <v>184</v>
      </c>
      <c r="B18" s="8" t="s">
        <v>183</v>
      </c>
      <c r="C18" s="25">
        <v>3029</v>
      </c>
      <c r="D18" s="29">
        <v>1099.1498844503137</v>
      </c>
      <c r="E18" s="25"/>
      <c r="F18" s="20">
        <v>209</v>
      </c>
      <c r="G18" s="20">
        <v>1195</v>
      </c>
      <c r="H18" s="20">
        <v>1089</v>
      </c>
      <c r="I18" s="20">
        <v>424</v>
      </c>
      <c r="J18" s="20">
        <v>79</v>
      </c>
      <c r="K18" s="20">
        <v>17</v>
      </c>
      <c r="L18" s="20">
        <v>6</v>
      </c>
      <c r="M18" s="20"/>
      <c r="N18" s="20"/>
      <c r="O18" s="20">
        <v>1</v>
      </c>
      <c r="P18" s="20">
        <v>3</v>
      </c>
      <c r="Q18" s="20"/>
      <c r="R18" s="20"/>
      <c r="S18" s="20">
        <v>6</v>
      </c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opLeftCell="C1" workbookViewId="0">
      <selection activeCell="A2" sqref="A2:O2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4" width="10" customWidth="1"/>
    <col min="5" max="19" width="15.42578125" customWidth="1"/>
  </cols>
  <sheetData>
    <row r="1" spans="1:19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78</v>
      </c>
      <c r="E1" s="2" t="s">
        <v>79</v>
      </c>
      <c r="F1" s="2" t="s">
        <v>80</v>
      </c>
      <c r="G1" s="2" t="s">
        <v>81</v>
      </c>
      <c r="H1" s="2" t="s">
        <v>82</v>
      </c>
      <c r="I1" s="2" t="s">
        <v>83</v>
      </c>
      <c r="J1" s="2" t="s">
        <v>84</v>
      </c>
      <c r="K1" s="2" t="s">
        <v>85</v>
      </c>
      <c r="L1" s="2" t="s">
        <v>86</v>
      </c>
      <c r="M1" s="2" t="s">
        <v>87</v>
      </c>
      <c r="N1" s="2" t="s">
        <v>88</v>
      </c>
      <c r="O1" s="2" t="s">
        <v>89</v>
      </c>
      <c r="P1" s="2" t="s">
        <v>90</v>
      </c>
      <c r="Q1" s="2" t="s">
        <v>91</v>
      </c>
      <c r="R1" s="2" t="s">
        <v>55</v>
      </c>
      <c r="S1" s="2" t="s">
        <v>27</v>
      </c>
    </row>
    <row r="2" spans="1:19" s="1" customFormat="1" ht="14.1" customHeight="1" x14ac:dyDescent="0.2">
      <c r="A2" s="14" t="s">
        <v>198</v>
      </c>
      <c r="B2" s="18" t="s">
        <v>197</v>
      </c>
      <c r="C2" s="21">
        <v>893</v>
      </c>
      <c r="D2" s="28">
        <v>1405.9585666293392</v>
      </c>
      <c r="E2" s="21"/>
      <c r="F2" s="21">
        <v>43</v>
      </c>
      <c r="G2" s="21">
        <v>250</v>
      </c>
      <c r="H2" s="21">
        <v>268</v>
      </c>
      <c r="I2" s="21">
        <v>188</v>
      </c>
      <c r="J2" s="21">
        <v>81</v>
      </c>
      <c r="K2" s="21">
        <v>33</v>
      </c>
      <c r="L2" s="21">
        <v>17</v>
      </c>
      <c r="M2" s="21">
        <v>5</v>
      </c>
      <c r="N2" s="21">
        <v>1</v>
      </c>
      <c r="O2" s="21"/>
      <c r="P2" s="21">
        <v>3</v>
      </c>
      <c r="Q2" s="21"/>
      <c r="R2" s="21">
        <v>4</v>
      </c>
      <c r="S2" s="21"/>
    </row>
    <row r="3" spans="1:19" s="1" customFormat="1" ht="14.1" customHeight="1" x14ac:dyDescent="0.2">
      <c r="A3" s="14" t="s">
        <v>188</v>
      </c>
      <c r="B3" s="18" t="s">
        <v>187</v>
      </c>
      <c r="C3" s="21">
        <v>141</v>
      </c>
      <c r="D3" s="28">
        <v>1306.9574468085107</v>
      </c>
      <c r="E3" s="21">
        <v>9</v>
      </c>
      <c r="F3" s="21">
        <v>2</v>
      </c>
      <c r="G3" s="21">
        <v>35</v>
      </c>
      <c r="H3" s="21">
        <v>32</v>
      </c>
      <c r="I3" s="21">
        <v>29</v>
      </c>
      <c r="J3" s="21">
        <v>17</v>
      </c>
      <c r="K3" s="21">
        <v>6</v>
      </c>
      <c r="L3" s="21">
        <v>1</v>
      </c>
      <c r="M3" s="21">
        <v>1</v>
      </c>
      <c r="N3" s="21"/>
      <c r="O3" s="21">
        <v>1</v>
      </c>
      <c r="P3" s="21"/>
      <c r="Q3" s="21"/>
      <c r="R3" s="21">
        <v>8</v>
      </c>
      <c r="S3" s="21"/>
    </row>
    <row r="4" spans="1:19" s="1" customFormat="1" ht="14.1" customHeight="1" x14ac:dyDescent="0.2">
      <c r="A4" s="9" t="s">
        <v>200</v>
      </c>
      <c r="B4" s="8" t="s">
        <v>199</v>
      </c>
      <c r="C4" s="4">
        <v>432</v>
      </c>
      <c r="D4" s="6">
        <v>1487.1898148148148</v>
      </c>
      <c r="E4" s="4">
        <v>1</v>
      </c>
      <c r="F4" s="4">
        <v>13</v>
      </c>
      <c r="G4" s="4">
        <v>95</v>
      </c>
      <c r="H4" s="4">
        <v>148</v>
      </c>
      <c r="I4" s="4">
        <v>88</v>
      </c>
      <c r="J4" s="4">
        <v>46</v>
      </c>
      <c r="K4" s="4">
        <v>24</v>
      </c>
      <c r="L4" s="4">
        <v>7</v>
      </c>
      <c r="M4" s="4">
        <v>2</v>
      </c>
      <c r="N4" s="4">
        <v>2</v>
      </c>
      <c r="O4" s="4">
        <v>3</v>
      </c>
      <c r="P4" s="4">
        <v>1</v>
      </c>
      <c r="Q4" s="4"/>
      <c r="R4" s="4">
        <v>2</v>
      </c>
      <c r="S4" s="4"/>
    </row>
    <row r="5" spans="1:19" s="1" customFormat="1" ht="14.1" customHeight="1" x14ac:dyDescent="0.2">
      <c r="A5" s="12" t="s">
        <v>178</v>
      </c>
      <c r="B5" s="17" t="s">
        <v>177</v>
      </c>
      <c r="C5" s="20">
        <v>405</v>
      </c>
      <c r="D5" s="30">
        <v>1551.8617283950616</v>
      </c>
      <c r="E5" s="20">
        <v>1</v>
      </c>
      <c r="F5" s="20">
        <v>10</v>
      </c>
      <c r="G5" s="20">
        <v>88</v>
      </c>
      <c r="H5" s="20">
        <v>112</v>
      </c>
      <c r="I5" s="20">
        <v>96</v>
      </c>
      <c r="J5" s="20">
        <v>49</v>
      </c>
      <c r="K5" s="20">
        <v>29</v>
      </c>
      <c r="L5" s="20">
        <v>9</v>
      </c>
      <c r="M5" s="20">
        <v>7</v>
      </c>
      <c r="N5" s="20"/>
      <c r="O5" s="20"/>
      <c r="P5" s="20">
        <v>1</v>
      </c>
      <c r="Q5" s="20"/>
      <c r="R5" s="20">
        <v>3</v>
      </c>
      <c r="S5" s="20"/>
    </row>
    <row r="6" spans="1:19" s="1" customFormat="1" ht="18.2" customHeight="1" x14ac:dyDescent="0.2">
      <c r="A6" s="12" t="s">
        <v>196</v>
      </c>
      <c r="B6" s="8" t="s">
        <v>195</v>
      </c>
      <c r="C6" s="25">
        <v>10</v>
      </c>
      <c r="D6" s="29">
        <v>1200.7</v>
      </c>
      <c r="E6" s="25"/>
      <c r="F6" s="20">
        <v>1</v>
      </c>
      <c r="G6" s="20">
        <v>2</v>
      </c>
      <c r="H6" s="20">
        <v>5</v>
      </c>
      <c r="I6" s="20">
        <v>1</v>
      </c>
      <c r="J6" s="20">
        <v>1</v>
      </c>
      <c r="K6" s="20"/>
      <c r="L6" s="20"/>
      <c r="M6" s="20"/>
      <c r="N6" s="20"/>
      <c r="O6" s="20"/>
      <c r="P6" s="20"/>
      <c r="Q6" s="20"/>
      <c r="R6" s="20"/>
      <c r="S6" s="20"/>
    </row>
    <row r="7" spans="1:19" s="1" customFormat="1" ht="22.7" customHeight="1" x14ac:dyDescent="0.2">
      <c r="A7" s="10" t="s">
        <v>180</v>
      </c>
      <c r="B7" s="15" t="s">
        <v>179</v>
      </c>
      <c r="C7" s="4">
        <v>10</v>
      </c>
      <c r="D7" s="6">
        <v>1706.2</v>
      </c>
      <c r="E7" s="4"/>
      <c r="F7" s="4"/>
      <c r="G7" s="4">
        <v>4</v>
      </c>
      <c r="H7" s="4">
        <v>1</v>
      </c>
      <c r="I7" s="4">
        <v>2</v>
      </c>
      <c r="J7" s="4"/>
      <c r="K7" s="4">
        <v>2</v>
      </c>
      <c r="L7" s="4">
        <v>1</v>
      </c>
      <c r="M7" s="4"/>
      <c r="N7" s="4"/>
      <c r="O7" s="4"/>
      <c r="P7" s="4"/>
      <c r="Q7" s="4"/>
      <c r="R7" s="4"/>
      <c r="S7" s="4"/>
    </row>
    <row r="8" spans="1:19" s="1" customFormat="1" ht="14.1" customHeight="1" x14ac:dyDescent="0.2">
      <c r="A8" s="14" t="s">
        <v>186</v>
      </c>
      <c r="B8" s="18" t="s">
        <v>185</v>
      </c>
      <c r="C8" s="21">
        <v>117</v>
      </c>
      <c r="D8" s="28">
        <v>1536.8632478632478</v>
      </c>
      <c r="E8" s="21"/>
      <c r="F8" s="21">
        <v>2</v>
      </c>
      <c r="G8" s="21">
        <v>25</v>
      </c>
      <c r="H8" s="21">
        <v>33</v>
      </c>
      <c r="I8" s="21">
        <v>31</v>
      </c>
      <c r="J8" s="21">
        <v>15</v>
      </c>
      <c r="K8" s="21">
        <v>8</v>
      </c>
      <c r="L8" s="21">
        <v>2</v>
      </c>
      <c r="M8" s="21">
        <v>1</v>
      </c>
      <c r="N8" s="21"/>
      <c r="O8" s="21"/>
      <c r="P8" s="21"/>
      <c r="Q8" s="21"/>
      <c r="R8" s="21"/>
      <c r="S8" s="21"/>
    </row>
    <row r="9" spans="1:19" s="1" customFormat="1" ht="14.1" customHeight="1" x14ac:dyDescent="0.2">
      <c r="A9" s="14" t="s">
        <v>170</v>
      </c>
      <c r="B9" s="18" t="s">
        <v>169</v>
      </c>
      <c r="C9" s="21">
        <v>76</v>
      </c>
      <c r="D9" s="28">
        <v>1662.8026315789473</v>
      </c>
      <c r="E9" s="21"/>
      <c r="F9" s="21">
        <v>2</v>
      </c>
      <c r="G9" s="21">
        <v>11</v>
      </c>
      <c r="H9" s="21">
        <v>24</v>
      </c>
      <c r="I9" s="21">
        <v>22</v>
      </c>
      <c r="J9" s="21">
        <v>5</v>
      </c>
      <c r="K9" s="21">
        <v>7</v>
      </c>
      <c r="L9" s="21">
        <v>2</v>
      </c>
      <c r="M9" s="21">
        <v>3</v>
      </c>
      <c r="N9" s="21"/>
      <c r="O9" s="21"/>
      <c r="P9" s="21"/>
      <c r="Q9" s="21"/>
      <c r="R9" s="21"/>
      <c r="S9" s="21"/>
    </row>
    <row r="10" spans="1:19" s="1" customFormat="1" ht="14.1" customHeight="1" x14ac:dyDescent="0.2">
      <c r="A10" s="9" t="s">
        <v>176</v>
      </c>
      <c r="B10" s="8" t="s">
        <v>175</v>
      </c>
      <c r="C10" s="4">
        <v>34</v>
      </c>
      <c r="D10" s="6">
        <v>1234.5294117647059</v>
      </c>
      <c r="E10" s="4"/>
      <c r="F10" s="4">
        <v>3</v>
      </c>
      <c r="G10" s="4">
        <v>13</v>
      </c>
      <c r="H10" s="4">
        <v>8</v>
      </c>
      <c r="I10" s="4">
        <v>5</v>
      </c>
      <c r="J10" s="4">
        <v>3</v>
      </c>
      <c r="K10" s="4">
        <v>2</v>
      </c>
      <c r="L10" s="4"/>
      <c r="M10" s="4"/>
      <c r="N10" s="4"/>
      <c r="O10" s="4"/>
      <c r="P10" s="4"/>
      <c r="Q10" s="4"/>
      <c r="R10" s="4"/>
      <c r="S10" s="4"/>
    </row>
    <row r="11" spans="1:19" s="1" customFormat="1" ht="14.1" customHeight="1" x14ac:dyDescent="0.2">
      <c r="A11" s="12" t="s">
        <v>192</v>
      </c>
      <c r="B11" s="17" t="s">
        <v>191</v>
      </c>
      <c r="C11" s="20">
        <v>202</v>
      </c>
      <c r="D11" s="30">
        <v>1588.3811881188119</v>
      </c>
      <c r="E11" s="20"/>
      <c r="F11" s="20">
        <v>4</v>
      </c>
      <c r="G11" s="20">
        <v>42</v>
      </c>
      <c r="H11" s="20">
        <v>62</v>
      </c>
      <c r="I11" s="20">
        <v>40</v>
      </c>
      <c r="J11" s="20">
        <v>31</v>
      </c>
      <c r="K11" s="20">
        <v>13</v>
      </c>
      <c r="L11" s="20">
        <v>6</v>
      </c>
      <c r="M11" s="20">
        <v>1</v>
      </c>
      <c r="N11" s="20">
        <v>1</v>
      </c>
      <c r="O11" s="20"/>
      <c r="P11" s="20">
        <v>1</v>
      </c>
      <c r="Q11" s="20"/>
      <c r="R11" s="20">
        <v>1</v>
      </c>
      <c r="S11" s="20"/>
    </row>
    <row r="12" spans="1:19" s="1" customFormat="1" ht="18.2" customHeight="1" x14ac:dyDescent="0.2">
      <c r="A12" s="12" t="s">
        <v>172</v>
      </c>
      <c r="B12" s="8" t="s">
        <v>171</v>
      </c>
      <c r="C12" s="25">
        <v>56</v>
      </c>
      <c r="D12" s="29">
        <v>1562.2321428571429</v>
      </c>
      <c r="E12" s="25"/>
      <c r="F12" s="20">
        <v>3</v>
      </c>
      <c r="G12" s="20">
        <v>12</v>
      </c>
      <c r="H12" s="20">
        <v>15</v>
      </c>
      <c r="I12" s="20">
        <v>10</v>
      </c>
      <c r="J12" s="20">
        <v>7</v>
      </c>
      <c r="K12" s="20">
        <v>6</v>
      </c>
      <c r="L12" s="20">
        <v>1</v>
      </c>
      <c r="M12" s="20"/>
      <c r="N12" s="20">
        <v>1</v>
      </c>
      <c r="O12" s="20"/>
      <c r="P12" s="20"/>
      <c r="Q12" s="20"/>
      <c r="R12" s="20">
        <v>1</v>
      </c>
      <c r="S12" s="20"/>
    </row>
    <row r="13" spans="1:19" s="1" customFormat="1" ht="22.7" customHeight="1" x14ac:dyDescent="0.2">
      <c r="A13" s="10" t="s">
        <v>190</v>
      </c>
      <c r="B13" s="15" t="s">
        <v>189</v>
      </c>
      <c r="C13" s="4">
        <v>103</v>
      </c>
      <c r="D13" s="6">
        <v>1469.1844660194174</v>
      </c>
      <c r="E13" s="4"/>
      <c r="F13" s="4">
        <v>3</v>
      </c>
      <c r="G13" s="4">
        <v>22</v>
      </c>
      <c r="H13" s="4">
        <v>29</v>
      </c>
      <c r="I13" s="4">
        <v>29</v>
      </c>
      <c r="J13" s="4">
        <v>14</v>
      </c>
      <c r="K13" s="4">
        <v>4</v>
      </c>
      <c r="L13" s="4"/>
      <c r="M13" s="4"/>
      <c r="N13" s="4">
        <v>1</v>
      </c>
      <c r="O13" s="4"/>
      <c r="P13" s="4"/>
      <c r="Q13" s="4"/>
      <c r="R13" s="4">
        <v>1</v>
      </c>
      <c r="S13" s="4"/>
    </row>
    <row r="14" spans="1:19" s="1" customFormat="1" ht="14.1" customHeight="1" x14ac:dyDescent="0.2">
      <c r="A14" s="11" t="s">
        <v>182</v>
      </c>
      <c r="B14" s="16" t="s">
        <v>181</v>
      </c>
      <c r="C14" s="19">
        <v>26</v>
      </c>
      <c r="D14" s="27">
        <v>1667.8461538461538</v>
      </c>
      <c r="E14" s="19"/>
      <c r="F14" s="19"/>
      <c r="G14" s="19">
        <v>3</v>
      </c>
      <c r="H14" s="19">
        <v>10</v>
      </c>
      <c r="I14" s="19">
        <v>5</v>
      </c>
      <c r="J14" s="19">
        <v>3</v>
      </c>
      <c r="K14" s="19">
        <v>4</v>
      </c>
      <c r="L14" s="19"/>
      <c r="M14" s="19">
        <v>1</v>
      </c>
      <c r="N14" s="19"/>
      <c r="O14" s="19"/>
      <c r="P14" s="19"/>
      <c r="Q14" s="19"/>
      <c r="R14" s="19"/>
      <c r="S14" s="19"/>
    </row>
    <row r="15" spans="1:19" s="1" customFormat="1" ht="14.1" customHeight="1" x14ac:dyDescent="0.2">
      <c r="A15" s="13">
        <v>200017341</v>
      </c>
      <c r="B15" s="16" t="s">
        <v>168</v>
      </c>
      <c r="C15" s="19">
        <v>18</v>
      </c>
      <c r="D15" s="27">
        <v>1424.1111111111111</v>
      </c>
      <c r="E15" s="19"/>
      <c r="F15" s="19">
        <v>1</v>
      </c>
      <c r="G15" s="19">
        <v>8</v>
      </c>
      <c r="H15" s="19">
        <v>4</v>
      </c>
      <c r="I15" s="19">
        <v>1</v>
      </c>
      <c r="J15" s="19">
        <v>2</v>
      </c>
      <c r="K15" s="19"/>
      <c r="L15" s="19"/>
      <c r="M15" s="19">
        <v>1</v>
      </c>
      <c r="N15" s="19"/>
      <c r="O15" s="19">
        <v>1</v>
      </c>
      <c r="P15" s="19"/>
      <c r="Q15" s="19"/>
      <c r="R15" s="19"/>
      <c r="S15" s="19"/>
    </row>
    <row r="16" spans="1:19" s="1" customFormat="1" ht="14.1" customHeight="1" x14ac:dyDescent="0.2">
      <c r="A16" s="14" t="s">
        <v>174</v>
      </c>
      <c r="B16" s="18" t="s">
        <v>173</v>
      </c>
      <c r="C16" s="21">
        <v>18</v>
      </c>
      <c r="D16" s="28">
        <v>1761.3888888888889</v>
      </c>
      <c r="E16" s="21"/>
      <c r="F16" s="21"/>
      <c r="G16" s="21">
        <v>4</v>
      </c>
      <c r="H16" s="21">
        <v>2</v>
      </c>
      <c r="I16" s="21">
        <v>5</v>
      </c>
      <c r="J16" s="21">
        <v>5</v>
      </c>
      <c r="K16" s="21">
        <v>1</v>
      </c>
      <c r="L16" s="21">
        <v>1</v>
      </c>
      <c r="M16" s="21"/>
      <c r="N16" s="21"/>
      <c r="O16" s="21"/>
      <c r="P16" s="21"/>
      <c r="Q16" s="21"/>
      <c r="R16" s="21"/>
      <c r="S16" s="21"/>
    </row>
    <row r="17" spans="1:19" s="1" customFormat="1" ht="14.1" customHeight="1" x14ac:dyDescent="0.2">
      <c r="A17" s="14" t="s">
        <v>194</v>
      </c>
      <c r="B17" s="18" t="s">
        <v>193</v>
      </c>
      <c r="C17" s="21">
        <v>44</v>
      </c>
      <c r="D17" s="28">
        <v>1423.5681818181818</v>
      </c>
      <c r="E17" s="21"/>
      <c r="F17" s="21"/>
      <c r="G17" s="21">
        <v>14</v>
      </c>
      <c r="H17" s="21">
        <v>16</v>
      </c>
      <c r="I17" s="21">
        <v>6</v>
      </c>
      <c r="J17" s="21">
        <v>3</v>
      </c>
      <c r="K17" s="21">
        <v>4</v>
      </c>
      <c r="L17" s="21">
        <v>1</v>
      </c>
      <c r="M17" s="21"/>
      <c r="N17" s="21"/>
      <c r="O17" s="21"/>
      <c r="P17" s="21"/>
      <c r="Q17" s="21"/>
      <c r="R17" s="21"/>
      <c r="S17" s="21"/>
    </row>
    <row r="18" spans="1:19" s="1" customFormat="1" ht="14.1" customHeight="1" x14ac:dyDescent="0.2">
      <c r="A18" s="9" t="s">
        <v>184</v>
      </c>
      <c r="B18" s="8" t="s">
        <v>183</v>
      </c>
      <c r="C18" s="4">
        <v>3029</v>
      </c>
      <c r="D18" s="6">
        <v>1628.8781776163751</v>
      </c>
      <c r="E18" s="4"/>
      <c r="F18" s="4">
        <v>88</v>
      </c>
      <c r="G18" s="4">
        <v>616</v>
      </c>
      <c r="H18" s="4">
        <v>793</v>
      </c>
      <c r="I18" s="4">
        <v>710</v>
      </c>
      <c r="J18" s="4">
        <v>389</v>
      </c>
      <c r="K18" s="4">
        <v>247</v>
      </c>
      <c r="L18" s="4">
        <v>121</v>
      </c>
      <c r="M18" s="4">
        <v>29</v>
      </c>
      <c r="N18" s="4">
        <v>16</v>
      </c>
      <c r="O18" s="4">
        <v>8</v>
      </c>
      <c r="P18" s="4">
        <v>6</v>
      </c>
      <c r="Q18" s="4"/>
      <c r="R18" s="4">
        <v>6</v>
      </c>
      <c r="S18" s="4"/>
    </row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A2" sqref="A2:O2"/>
    </sheetView>
  </sheetViews>
  <sheetFormatPr baseColWidth="10" defaultColWidth="9" defaultRowHeight="12.75" x14ac:dyDescent="0.2"/>
  <cols>
    <col min="1" max="1" width="10" customWidth="1"/>
    <col min="2" max="2" width="26.28515625" customWidth="1"/>
    <col min="3" max="3" width="10" customWidth="1"/>
    <col min="4" max="9" width="20.85546875" customWidth="1"/>
  </cols>
  <sheetData>
    <row r="1" spans="1:9" s="1" customFormat="1" ht="22.7" customHeight="1" x14ac:dyDescent="0.2">
      <c r="A1" s="2" t="s">
        <v>0</v>
      </c>
      <c r="B1" s="3" t="s">
        <v>1</v>
      </c>
      <c r="C1" s="2" t="s">
        <v>2</v>
      </c>
      <c r="D1" s="2" t="s">
        <v>92</v>
      </c>
      <c r="E1" s="2" t="s">
        <v>93</v>
      </c>
      <c r="F1" s="2" t="s">
        <v>94</v>
      </c>
      <c r="G1" s="2" t="s">
        <v>95</v>
      </c>
      <c r="H1" s="2" t="s">
        <v>55</v>
      </c>
      <c r="I1" s="2" t="s">
        <v>27</v>
      </c>
    </row>
    <row r="2" spans="1:9" s="1" customFormat="1" ht="14.1" customHeight="1" x14ac:dyDescent="0.2">
      <c r="A2" s="14" t="s">
        <v>198</v>
      </c>
      <c r="B2" s="18" t="s">
        <v>197</v>
      </c>
      <c r="C2" s="21">
        <v>893</v>
      </c>
      <c r="D2" s="21">
        <v>625</v>
      </c>
      <c r="E2" s="21">
        <v>129</v>
      </c>
      <c r="F2" s="21">
        <v>19</v>
      </c>
      <c r="G2" s="21">
        <v>1</v>
      </c>
      <c r="H2" s="21">
        <v>119</v>
      </c>
      <c r="I2" s="21"/>
    </row>
    <row r="3" spans="1:9" s="1" customFormat="1" ht="14.1" customHeight="1" x14ac:dyDescent="0.2">
      <c r="A3" s="14" t="s">
        <v>188</v>
      </c>
      <c r="B3" s="18" t="s">
        <v>187</v>
      </c>
      <c r="C3" s="21">
        <v>141</v>
      </c>
      <c r="D3" s="21">
        <v>89</v>
      </c>
      <c r="E3" s="21">
        <v>23</v>
      </c>
      <c r="F3" s="21">
        <v>3</v>
      </c>
      <c r="G3" s="21">
        <v>1</v>
      </c>
      <c r="H3" s="21">
        <v>25</v>
      </c>
      <c r="I3" s="21"/>
    </row>
    <row r="4" spans="1:9" s="1" customFormat="1" ht="14.1" customHeight="1" x14ac:dyDescent="0.2">
      <c r="A4" s="9" t="s">
        <v>200</v>
      </c>
      <c r="B4" s="8" t="s">
        <v>199</v>
      </c>
      <c r="C4" s="4">
        <v>432</v>
      </c>
      <c r="D4" s="4">
        <v>321</v>
      </c>
      <c r="E4" s="4">
        <v>55</v>
      </c>
      <c r="F4" s="4">
        <v>2</v>
      </c>
      <c r="G4" s="4">
        <v>2</v>
      </c>
      <c r="H4" s="4">
        <v>52</v>
      </c>
      <c r="I4" s="4"/>
    </row>
    <row r="5" spans="1:9" s="1" customFormat="1" ht="14.1" customHeight="1" x14ac:dyDescent="0.2">
      <c r="A5" s="12" t="s">
        <v>178</v>
      </c>
      <c r="B5" s="17" t="s">
        <v>177</v>
      </c>
      <c r="C5" s="20">
        <v>405</v>
      </c>
      <c r="D5" s="20">
        <v>276</v>
      </c>
      <c r="E5" s="20">
        <v>85</v>
      </c>
      <c r="F5" s="20">
        <v>8</v>
      </c>
      <c r="G5" s="20">
        <v>3</v>
      </c>
      <c r="H5" s="20">
        <v>33</v>
      </c>
      <c r="I5" s="20"/>
    </row>
    <row r="6" spans="1:9" s="1" customFormat="1" ht="18.2" customHeight="1" x14ac:dyDescent="0.2">
      <c r="A6" s="12" t="s">
        <v>196</v>
      </c>
      <c r="B6" s="8" t="s">
        <v>195</v>
      </c>
      <c r="C6" s="25">
        <v>10</v>
      </c>
      <c r="D6" s="25">
        <v>10</v>
      </c>
      <c r="E6" s="25"/>
      <c r="F6" s="20"/>
      <c r="G6" s="20"/>
      <c r="H6" s="20"/>
      <c r="I6" s="20"/>
    </row>
    <row r="7" spans="1:9" s="1" customFormat="1" ht="22.7" customHeight="1" x14ac:dyDescent="0.2">
      <c r="A7" s="10" t="s">
        <v>180</v>
      </c>
      <c r="B7" s="15" t="s">
        <v>179</v>
      </c>
      <c r="C7" s="4">
        <v>10</v>
      </c>
      <c r="D7" s="4">
        <v>7</v>
      </c>
      <c r="E7" s="4">
        <v>2</v>
      </c>
      <c r="F7" s="4"/>
      <c r="G7" s="4"/>
      <c r="H7" s="4">
        <v>1</v>
      </c>
      <c r="I7" s="4"/>
    </row>
    <row r="8" spans="1:9" s="1" customFormat="1" ht="14.1" customHeight="1" x14ac:dyDescent="0.2">
      <c r="A8" s="14" t="s">
        <v>186</v>
      </c>
      <c r="B8" s="18" t="s">
        <v>185</v>
      </c>
      <c r="C8" s="21">
        <v>117</v>
      </c>
      <c r="D8" s="21">
        <v>96</v>
      </c>
      <c r="E8" s="21">
        <v>17</v>
      </c>
      <c r="F8" s="21">
        <v>1</v>
      </c>
      <c r="G8" s="21"/>
      <c r="H8" s="21">
        <v>3</v>
      </c>
      <c r="I8" s="21"/>
    </row>
    <row r="9" spans="1:9" s="1" customFormat="1" ht="14.1" customHeight="1" x14ac:dyDescent="0.2">
      <c r="A9" s="14" t="s">
        <v>170</v>
      </c>
      <c r="B9" s="18" t="s">
        <v>169</v>
      </c>
      <c r="C9" s="21">
        <v>76</v>
      </c>
      <c r="D9" s="21">
        <v>44</v>
      </c>
      <c r="E9" s="21">
        <v>14</v>
      </c>
      <c r="F9" s="21">
        <v>2</v>
      </c>
      <c r="G9" s="21"/>
      <c r="H9" s="21">
        <v>16</v>
      </c>
      <c r="I9" s="21"/>
    </row>
    <row r="10" spans="1:9" s="1" customFormat="1" ht="14.1" customHeight="1" x14ac:dyDescent="0.2">
      <c r="A10" s="9" t="s">
        <v>176</v>
      </c>
      <c r="B10" s="8" t="s">
        <v>175</v>
      </c>
      <c r="C10" s="4">
        <v>34</v>
      </c>
      <c r="D10" s="4">
        <v>27</v>
      </c>
      <c r="E10" s="4">
        <v>4</v>
      </c>
      <c r="F10" s="4">
        <v>1</v>
      </c>
      <c r="G10" s="4"/>
      <c r="H10" s="4">
        <v>2</v>
      </c>
      <c r="I10" s="4"/>
    </row>
    <row r="11" spans="1:9" s="1" customFormat="1" ht="14.1" customHeight="1" x14ac:dyDescent="0.2">
      <c r="A11" s="12" t="s">
        <v>192</v>
      </c>
      <c r="B11" s="17" t="s">
        <v>191</v>
      </c>
      <c r="C11" s="20">
        <v>202</v>
      </c>
      <c r="D11" s="20">
        <v>148</v>
      </c>
      <c r="E11" s="20">
        <v>32</v>
      </c>
      <c r="F11" s="20"/>
      <c r="G11" s="20">
        <v>1</v>
      </c>
      <c r="H11" s="20">
        <v>21</v>
      </c>
      <c r="I11" s="20"/>
    </row>
    <row r="12" spans="1:9" s="1" customFormat="1" ht="18.2" customHeight="1" x14ac:dyDescent="0.2">
      <c r="A12" s="12" t="s">
        <v>172</v>
      </c>
      <c r="B12" s="8" t="s">
        <v>171</v>
      </c>
      <c r="C12" s="25">
        <v>56</v>
      </c>
      <c r="D12" s="25">
        <v>41</v>
      </c>
      <c r="E12" s="25">
        <v>10</v>
      </c>
      <c r="F12" s="20">
        <v>1</v>
      </c>
      <c r="G12" s="20"/>
      <c r="H12" s="20">
        <v>4</v>
      </c>
      <c r="I12" s="20"/>
    </row>
    <row r="13" spans="1:9" s="1" customFormat="1" ht="22.7" customHeight="1" x14ac:dyDescent="0.2">
      <c r="A13" s="10" t="s">
        <v>190</v>
      </c>
      <c r="B13" s="15" t="s">
        <v>189</v>
      </c>
      <c r="C13" s="4">
        <v>103</v>
      </c>
      <c r="D13" s="4">
        <v>70</v>
      </c>
      <c r="E13" s="4">
        <v>10</v>
      </c>
      <c r="F13" s="4"/>
      <c r="G13" s="4"/>
      <c r="H13" s="4">
        <v>23</v>
      </c>
      <c r="I13" s="4"/>
    </row>
    <row r="14" spans="1:9" s="1" customFormat="1" ht="14.1" customHeight="1" x14ac:dyDescent="0.2">
      <c r="A14" s="11" t="s">
        <v>182</v>
      </c>
      <c r="B14" s="16" t="s">
        <v>181</v>
      </c>
      <c r="C14" s="19">
        <v>26</v>
      </c>
      <c r="D14" s="19">
        <v>14</v>
      </c>
      <c r="E14" s="19">
        <v>9</v>
      </c>
      <c r="F14" s="19"/>
      <c r="G14" s="19"/>
      <c r="H14" s="19">
        <v>3</v>
      </c>
      <c r="I14" s="19"/>
    </row>
    <row r="15" spans="1:9" s="1" customFormat="1" ht="14.1" customHeight="1" x14ac:dyDescent="0.2">
      <c r="A15" s="13">
        <v>200017341</v>
      </c>
      <c r="B15" s="16" t="s">
        <v>168</v>
      </c>
      <c r="C15" s="19">
        <v>18</v>
      </c>
      <c r="D15" s="19">
        <v>15</v>
      </c>
      <c r="E15" s="19">
        <v>1</v>
      </c>
      <c r="F15" s="19"/>
      <c r="G15" s="19"/>
      <c r="H15" s="19">
        <v>2</v>
      </c>
      <c r="I15" s="19"/>
    </row>
    <row r="16" spans="1:9" s="1" customFormat="1" ht="14.1" customHeight="1" x14ac:dyDescent="0.2">
      <c r="A16" s="14" t="s">
        <v>174</v>
      </c>
      <c r="B16" s="18" t="s">
        <v>173</v>
      </c>
      <c r="C16" s="21">
        <v>18</v>
      </c>
      <c r="D16" s="21">
        <v>14</v>
      </c>
      <c r="E16" s="21">
        <v>3</v>
      </c>
      <c r="F16" s="21"/>
      <c r="G16" s="21"/>
      <c r="H16" s="21">
        <v>1</v>
      </c>
      <c r="I16" s="21"/>
    </row>
    <row r="17" spans="1:9" s="1" customFormat="1" ht="14.1" customHeight="1" x14ac:dyDescent="0.2">
      <c r="A17" s="14" t="s">
        <v>194</v>
      </c>
      <c r="B17" s="18" t="s">
        <v>193</v>
      </c>
      <c r="C17" s="21">
        <v>44</v>
      </c>
      <c r="D17" s="21">
        <v>34</v>
      </c>
      <c r="E17" s="21">
        <v>9</v>
      </c>
      <c r="F17" s="21"/>
      <c r="G17" s="21"/>
      <c r="H17" s="21">
        <v>1</v>
      </c>
      <c r="I17" s="21"/>
    </row>
    <row r="18" spans="1:9" s="1" customFormat="1" ht="14.1" customHeight="1" x14ac:dyDescent="0.2">
      <c r="A18" s="9" t="s">
        <v>184</v>
      </c>
      <c r="B18" s="8" t="s">
        <v>183</v>
      </c>
      <c r="C18" s="4">
        <v>3029</v>
      </c>
      <c r="D18" s="4">
        <v>2145</v>
      </c>
      <c r="E18" s="4">
        <v>601</v>
      </c>
      <c r="F18" s="4">
        <v>50</v>
      </c>
      <c r="G18" s="4">
        <v>13</v>
      </c>
      <c r="H18" s="4">
        <v>220</v>
      </c>
      <c r="I18" s="4"/>
    </row>
    <row r="19" spans="1:9" s="1" customFormat="1" ht="30" customHeight="1" x14ac:dyDescent="0.2"/>
    <row r="20" spans="1:9" s="1" customFormat="1" ht="30" customHeight="1" x14ac:dyDescent="0.2"/>
  </sheetData>
  <sheetProtection selectLockedCells="1" selectUnlockedCells="1"/>
  <pageMargins left="0.78402777777777777" right="0.78402777777777777" top="0.98055555555555551" bottom="0.9805555555555555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Fiche_EPCI</vt:lpstr>
      <vt:lpstr>Fiche_EPCI_Resume</vt:lpstr>
      <vt:lpstr>Grp_Revenu</vt:lpstr>
      <vt:lpstr>Type_reservat</vt:lpstr>
      <vt:lpstr>Logt_actuel</vt:lpstr>
      <vt:lpstr>Typologie</vt:lpstr>
      <vt:lpstr>Revenu_UC</vt:lpstr>
      <vt:lpstr>RevenuMens_menage</vt:lpstr>
      <vt:lpstr>PosPlaf_HLM</vt:lpstr>
      <vt:lpstr>Statut_prof</vt:lpstr>
      <vt:lpstr>Compo_famille</vt:lpstr>
      <vt:lpstr>Age_demandeur</vt:lpstr>
      <vt:lpstr>Taille_menage</vt:lpstr>
      <vt:lpstr>Ancienneté</vt:lpstr>
      <vt:lpstr>Situ_familiale</vt:lpstr>
      <vt:lpstr>Motif_demande</vt:lpstr>
      <vt:lpstr>Natio_demandeur</vt:lpstr>
      <vt:lpstr>ABC_123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 Deborah</dc:creator>
  <cp:lastModifiedBy>Soria Deborah</cp:lastModifiedBy>
  <dcterms:created xsi:type="dcterms:W3CDTF">2021-10-07T14:05:20Z</dcterms:created>
  <dcterms:modified xsi:type="dcterms:W3CDTF">2021-11-18T16:11:34Z</dcterms:modified>
</cp:coreProperties>
</file>